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mauricio.novoa\Desktop\mauricio.novoa\Desktop\Backup\Recuperado\Escritorio\CONTRATO 1916-2022\CESION 2023\PAGOS\JUNIO\"/>
    </mc:Choice>
  </mc:AlternateContent>
  <xr:revisionPtr revIDLastSave="0" documentId="8_{A181FC51-B10D-4303-ADE8-C8B0ECCB24BC}" xr6:coauthVersionLast="47" xr6:coauthVersionMax="47" xr10:uidLastSave="{00000000-0000-0000-0000-000000000000}"/>
  <bookViews>
    <workbookView xWindow="-120" yWindow="-120" windowWidth="20730" windowHeight="11160" activeTab="6" xr2:uid="{DC2EDF17-7DAE-DC48-994A-A8DF45F2B3D0}"/>
  </bookViews>
  <sheets>
    <sheet name="04 JUNIO " sheetId="7" r:id="rId1"/>
    <sheet name="11 JUNIO" sheetId="11" r:id="rId2"/>
    <sheet name="12 JUNIO" sheetId="12" r:id="rId3"/>
    <sheet name="18 JUNIO" sheetId="13" r:id="rId4"/>
    <sheet name="19 JUNIO" sheetId="14" r:id="rId5"/>
    <sheet name="25 JUNIO" sheetId="15" r:id="rId6"/>
    <sheet name="INFORME FINAL JUNIO" sheetId="8" r:id="rId7"/>
    <sheet name="SALDOS POR PROYECTO" sheetId="9" r:id="rId8"/>
    <sheet name="PLANTILLA" sheetId="10"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xlnm._FilterDatabase" localSheetId="6" hidden="1">'INFORME FINAL JUNIO'!$G$82:$G$165</definedName>
    <definedName name="_xlnm.Print_Area" localSheetId="0">'04 JUNIO '!$A$1:$Y$80</definedName>
    <definedName name="_xlnm.Print_Area" localSheetId="1">'11 JUNIO'!$A$1:$Y$80</definedName>
    <definedName name="_xlnm.Print_Area" localSheetId="2">'12 JUNIO'!$A$1:$Y$80</definedName>
    <definedName name="_xlnm.Print_Area" localSheetId="3">'18 JUNIO'!$A$1:$Y$80</definedName>
    <definedName name="_xlnm.Print_Area" localSheetId="4">'19 JUNIO'!$A$1:$Y$80</definedName>
    <definedName name="_xlnm.Print_Area" localSheetId="5">'25 JUNIO'!$A$1:$Y$80</definedName>
    <definedName name="_xlnm.Print_Area" localSheetId="8">PLANTILLA!$A$1:$Y$79</definedName>
    <definedName name="d">[1]DATOS!$H$4:$H$12</definedName>
    <definedName name="dep">[1]DATOS!$D$3:$D$6</definedName>
    <definedName name="Deportes1" localSheetId="6">[2]DATOS!$H$4:$H$12</definedName>
    <definedName name="Deportes1">[3]DATOS!$H$4:$H$12</definedName>
    <definedName name="Deportes2" localSheetId="6">[2]DATOS!$I$4:$I$11</definedName>
    <definedName name="Deportes2">[3]DATOS!$I$4:$I$11</definedName>
    <definedName name="Deportes3" localSheetId="6">[2]DATOS!$K$4:$K$8</definedName>
    <definedName name="Deportes3">[3]DATOS!$K$4:$K$8</definedName>
    <definedName name="FF">[4]DATOS!$K$4:$K$8</definedName>
    <definedName name="INCLUIYENTE">[5]DATOS!$H$4:$H$12</definedName>
    <definedName name="INCLUYENTE">[5]DATOS!$J$4:$J$12</definedName>
    <definedName name="JUVENTUD">[6]DATOS!$J$4:$J$12</definedName>
    <definedName name="OTRPO">[7]DATOS!$D$3:$D$6</definedName>
    <definedName name="Proyecto" localSheetId="6">[2]DATOS!$D$3:$D$6</definedName>
    <definedName name="Proyecto">[3]DATOS!$D$3:$D$6</definedName>
    <definedName name="Recreacion" localSheetId="6">[2]DATOS!$J$4:$J$12</definedName>
    <definedName name="Recreacion">[3]DATOS!$J$4:$J$12</definedName>
    <definedName name="TEC">[8]DATOS!$I$4:$I$11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5" i="9" l="1"/>
  <c r="E102" i="9" l="1"/>
  <c r="E104" i="9"/>
  <c r="E105" i="9"/>
  <c r="E101" i="9"/>
  <c r="C105" i="9"/>
  <c r="C104" i="9"/>
  <c r="C102" i="9"/>
  <c r="C101" i="9"/>
  <c r="D107" i="9"/>
  <c r="D99" i="9"/>
  <c r="N79" i="8"/>
  <c r="M79" i="8"/>
  <c r="L79" i="8"/>
  <c r="H53" i="8" l="1"/>
  <c r="H52" i="8"/>
  <c r="H51" i="8"/>
  <c r="D53" i="8"/>
  <c r="C53" i="8"/>
  <c r="D52" i="8"/>
  <c r="C52" i="8"/>
  <c r="D51" i="8"/>
  <c r="C51" i="8"/>
  <c r="O71" i="15"/>
  <c r="W26" i="15"/>
  <c r="W25" i="15"/>
  <c r="I192" i="15"/>
  <c r="I191" i="15"/>
  <c r="I190" i="15"/>
  <c r="I189" i="15"/>
  <c r="I188" i="15"/>
  <c r="N187" i="15"/>
  <c r="I187" i="15"/>
  <c r="N186" i="15"/>
  <c r="N185" i="15"/>
  <c r="N184" i="15"/>
  <c r="N183" i="15"/>
  <c r="N182" i="15"/>
  <c r="N181" i="15"/>
  <c r="N180" i="15"/>
  <c r="N179" i="15"/>
  <c r="N178" i="15"/>
  <c r="N177" i="15"/>
  <c r="N176" i="15"/>
  <c r="N175" i="15"/>
  <c r="N174" i="15"/>
  <c r="N173" i="15"/>
  <c r="N172" i="15"/>
  <c r="N171" i="15"/>
  <c r="N170" i="15"/>
  <c r="N169" i="15"/>
  <c r="N168" i="15"/>
  <c r="N167" i="15"/>
  <c r="N166" i="15"/>
  <c r="N165" i="15"/>
  <c r="N164" i="15"/>
  <c r="N163" i="15"/>
  <c r="N162" i="15"/>
  <c r="N161" i="15"/>
  <c r="N160" i="15"/>
  <c r="N159" i="15"/>
  <c r="N158" i="15"/>
  <c r="N157" i="15"/>
  <c r="N156" i="15"/>
  <c r="N155" i="15"/>
  <c r="N154" i="15"/>
  <c r="N153" i="15"/>
  <c r="N152" i="15"/>
  <c r="N151" i="15"/>
  <c r="N150" i="15"/>
  <c r="N149" i="15"/>
  <c r="N148" i="15"/>
  <c r="N147" i="15"/>
  <c r="N146" i="15"/>
  <c r="N145" i="15"/>
  <c r="N144" i="15"/>
  <c r="N143" i="15"/>
  <c r="N142" i="15"/>
  <c r="N141" i="15"/>
  <c r="N140" i="15"/>
  <c r="C66" i="15"/>
  <c r="G64" i="15"/>
  <c r="E64" i="15"/>
  <c r="B64" i="15"/>
  <c r="G63" i="15"/>
  <c r="E63" i="15"/>
  <c r="B63" i="15"/>
  <c r="G62" i="15"/>
  <c r="E62" i="15"/>
  <c r="B62" i="15"/>
  <c r="G61" i="15"/>
  <c r="E61" i="15"/>
  <c r="B61" i="15"/>
  <c r="G60" i="15"/>
  <c r="E60" i="15"/>
  <c r="B60" i="15"/>
  <c r="G59" i="15"/>
  <c r="E59" i="15"/>
  <c r="B59" i="15"/>
  <c r="G58" i="15"/>
  <c r="E58" i="15"/>
  <c r="B58" i="15"/>
  <c r="G57" i="15"/>
  <c r="E57" i="15"/>
  <c r="B57" i="15"/>
  <c r="G56" i="15"/>
  <c r="E56" i="15"/>
  <c r="B56" i="15"/>
  <c r="G55" i="15"/>
  <c r="E55" i="15"/>
  <c r="B55" i="15"/>
  <c r="E41" i="15"/>
  <c r="C41" i="15"/>
  <c r="C68" i="15" s="1"/>
  <c r="G39" i="15"/>
  <c r="E39" i="15"/>
  <c r="G38" i="15"/>
  <c r="E38" i="15"/>
  <c r="G37" i="15"/>
  <c r="E37" i="15"/>
  <c r="B37" i="15"/>
  <c r="G36" i="15"/>
  <c r="E36" i="15"/>
  <c r="B36" i="15"/>
  <c r="G35" i="15"/>
  <c r="E35" i="15"/>
  <c r="B35" i="15"/>
  <c r="G30" i="15"/>
  <c r="E30" i="15"/>
  <c r="U29" i="15"/>
  <c r="G29" i="15"/>
  <c r="E29" i="15"/>
  <c r="B29" i="15"/>
  <c r="G28" i="15"/>
  <c r="E28" i="15"/>
  <c r="B28" i="15"/>
  <c r="G27" i="15"/>
  <c r="E27" i="15"/>
  <c r="B27" i="15"/>
  <c r="Y26" i="15"/>
  <c r="L26" i="15"/>
  <c r="K26" i="15"/>
  <c r="Y25" i="15"/>
  <c r="Y24" i="15"/>
  <c r="W24" i="15"/>
  <c r="Y23" i="15"/>
  <c r="W23" i="15"/>
  <c r="C23" i="15"/>
  <c r="Y22" i="15"/>
  <c r="W22" i="15"/>
  <c r="Y21" i="15"/>
  <c r="W21" i="15"/>
  <c r="Y20" i="15"/>
  <c r="W20" i="15"/>
  <c r="P19" i="15"/>
  <c r="P18" i="15"/>
  <c r="N18" i="15"/>
  <c r="G17" i="15"/>
  <c r="E17" i="15"/>
  <c r="B17" i="15"/>
  <c r="Y16" i="15"/>
  <c r="W16" i="15"/>
  <c r="G16" i="15"/>
  <c r="E16" i="15"/>
  <c r="B16" i="15"/>
  <c r="Y15" i="15"/>
  <c r="W15" i="15"/>
  <c r="C13" i="15"/>
  <c r="G11" i="15"/>
  <c r="E11" i="15"/>
  <c r="G10" i="15"/>
  <c r="E10" i="15"/>
  <c r="G9" i="15"/>
  <c r="E9" i="15"/>
  <c r="B9" i="15"/>
  <c r="B13" i="15" s="1"/>
  <c r="U8" i="15"/>
  <c r="P8" i="15"/>
  <c r="N8" i="15"/>
  <c r="G8" i="15"/>
  <c r="E8" i="15"/>
  <c r="B8" i="15"/>
  <c r="Y7" i="15"/>
  <c r="P7" i="15"/>
  <c r="N7" i="15"/>
  <c r="G7" i="15"/>
  <c r="E7" i="15"/>
  <c r="B7" i="15"/>
  <c r="Y6" i="15"/>
  <c r="W6" i="15"/>
  <c r="T6" i="15"/>
  <c r="P6" i="15"/>
  <c r="N6" i="15"/>
  <c r="G6" i="15"/>
  <c r="E6" i="15"/>
  <c r="B6" i="15"/>
  <c r="Y5" i="15"/>
  <c r="W5" i="15"/>
  <c r="T5" i="15"/>
  <c r="P5" i="15"/>
  <c r="N5" i="15"/>
  <c r="G5" i="15"/>
  <c r="E5" i="15"/>
  <c r="B5" i="15"/>
  <c r="Y4" i="15"/>
  <c r="W4" i="15"/>
  <c r="T4" i="15"/>
  <c r="T29" i="15" s="1"/>
  <c r="P4" i="15"/>
  <c r="N4" i="15"/>
  <c r="G4" i="15"/>
  <c r="E4" i="15"/>
  <c r="B4" i="15"/>
  <c r="Y29" i="15" l="1"/>
  <c r="P26" i="15"/>
  <c r="B66" i="15"/>
  <c r="G66" i="15"/>
  <c r="B41" i="15"/>
  <c r="N71" i="15"/>
  <c r="M71" i="15"/>
  <c r="B23" i="15"/>
  <c r="B68" i="15" s="1"/>
  <c r="K69" i="15" s="1"/>
  <c r="K70" i="15"/>
  <c r="G13" i="15"/>
  <c r="G23" i="15" s="1"/>
  <c r="G41" i="15"/>
  <c r="P71" i="15" l="1"/>
  <c r="G68" i="15"/>
  <c r="K71" i="15" s="1"/>
  <c r="H44" i="8" l="1"/>
  <c r="D44" i="8"/>
  <c r="C44" i="8"/>
  <c r="H43" i="8"/>
  <c r="D43" i="8"/>
  <c r="C43" i="8"/>
  <c r="H42" i="8"/>
  <c r="D42" i="8"/>
  <c r="C42" i="8"/>
  <c r="H35" i="8"/>
  <c r="D35" i="8"/>
  <c r="C35" i="8"/>
  <c r="H34" i="8"/>
  <c r="D34" i="8"/>
  <c r="C34" i="8"/>
  <c r="H33" i="8"/>
  <c r="D33" i="8"/>
  <c r="C33" i="8"/>
  <c r="G4" i="14"/>
  <c r="I192" i="14" l="1"/>
  <c r="I191" i="14"/>
  <c r="I190" i="14"/>
  <c r="I189" i="14"/>
  <c r="I188" i="14"/>
  <c r="N187" i="14"/>
  <c r="I187" i="14"/>
  <c r="N186" i="14"/>
  <c r="N185" i="14"/>
  <c r="N184" i="14"/>
  <c r="N183" i="14"/>
  <c r="N182" i="14"/>
  <c r="N181" i="14"/>
  <c r="N180" i="14"/>
  <c r="N179" i="14"/>
  <c r="N178" i="14"/>
  <c r="N177" i="14"/>
  <c r="N176" i="14"/>
  <c r="N175" i="14"/>
  <c r="N174" i="14"/>
  <c r="N173" i="14"/>
  <c r="N172" i="14"/>
  <c r="N171" i="14"/>
  <c r="N170" i="14"/>
  <c r="N169" i="14"/>
  <c r="N168" i="14"/>
  <c r="N167" i="14"/>
  <c r="N166" i="14"/>
  <c r="N165" i="14"/>
  <c r="N164" i="14"/>
  <c r="N163" i="14"/>
  <c r="N162" i="14"/>
  <c r="N161" i="14"/>
  <c r="N160" i="14"/>
  <c r="N159" i="14"/>
  <c r="N158" i="14"/>
  <c r="N157" i="14"/>
  <c r="N156" i="14"/>
  <c r="N155" i="14"/>
  <c r="N154" i="14"/>
  <c r="N153" i="14"/>
  <c r="N152" i="14"/>
  <c r="N151" i="14"/>
  <c r="N150" i="14"/>
  <c r="N149" i="14"/>
  <c r="N148" i="14"/>
  <c r="N147" i="14"/>
  <c r="N146" i="14"/>
  <c r="N145" i="14"/>
  <c r="N144" i="14"/>
  <c r="N143" i="14"/>
  <c r="N142" i="14"/>
  <c r="N141" i="14"/>
  <c r="N140" i="14"/>
  <c r="C66" i="14"/>
  <c r="G64" i="14"/>
  <c r="E64" i="14"/>
  <c r="G63" i="14"/>
  <c r="E63" i="14"/>
  <c r="G62" i="14"/>
  <c r="E62" i="14"/>
  <c r="G61" i="14"/>
  <c r="E61" i="14"/>
  <c r="G60" i="14"/>
  <c r="E60" i="14"/>
  <c r="G59" i="14"/>
  <c r="E59" i="14"/>
  <c r="G58" i="14"/>
  <c r="E58" i="14"/>
  <c r="G57" i="14"/>
  <c r="E57" i="14"/>
  <c r="B57" i="14"/>
  <c r="G56" i="14"/>
  <c r="E56" i="14"/>
  <c r="B56" i="14"/>
  <c r="G55" i="14"/>
  <c r="G66" i="14" s="1"/>
  <c r="E55" i="14"/>
  <c r="B55" i="14"/>
  <c r="B66" i="14" s="1"/>
  <c r="E41" i="14"/>
  <c r="C41" i="14"/>
  <c r="C68" i="14" s="1"/>
  <c r="G39" i="14"/>
  <c r="E39" i="14"/>
  <c r="G38" i="14"/>
  <c r="E38" i="14"/>
  <c r="B38" i="14"/>
  <c r="G37" i="14"/>
  <c r="E37" i="14"/>
  <c r="B37" i="14"/>
  <c r="B41" i="14" s="1"/>
  <c r="G36" i="14"/>
  <c r="E36" i="14"/>
  <c r="B36" i="14"/>
  <c r="G35" i="14"/>
  <c r="E35" i="14"/>
  <c r="B35" i="14"/>
  <c r="G30" i="14"/>
  <c r="E30" i="14"/>
  <c r="G29" i="14"/>
  <c r="E29" i="14"/>
  <c r="B29" i="14"/>
  <c r="G28" i="14"/>
  <c r="E28" i="14"/>
  <c r="B28" i="14"/>
  <c r="G27" i="14"/>
  <c r="E27" i="14"/>
  <c r="B27" i="14"/>
  <c r="U26" i="14"/>
  <c r="L26" i="14"/>
  <c r="K26" i="14"/>
  <c r="Y24" i="14"/>
  <c r="W24" i="14"/>
  <c r="Y23" i="14"/>
  <c r="W23" i="14"/>
  <c r="C23" i="14"/>
  <c r="Y22" i="14"/>
  <c r="W22" i="14"/>
  <c r="Y21" i="14"/>
  <c r="W21" i="14"/>
  <c r="Y20" i="14"/>
  <c r="W20" i="14"/>
  <c r="P19" i="14"/>
  <c r="P18" i="14"/>
  <c r="N18" i="14"/>
  <c r="Y16" i="14"/>
  <c r="W16" i="14"/>
  <c r="G16" i="14"/>
  <c r="E16" i="14"/>
  <c r="B16" i="14"/>
  <c r="Y15" i="14"/>
  <c r="W15" i="14"/>
  <c r="C13" i="14"/>
  <c r="G11" i="14"/>
  <c r="E11" i="14"/>
  <c r="B11" i="14"/>
  <c r="G10" i="14"/>
  <c r="E10" i="14"/>
  <c r="B10" i="14"/>
  <c r="G9" i="14"/>
  <c r="E9" i="14"/>
  <c r="B9" i="14"/>
  <c r="U8" i="14"/>
  <c r="P8" i="14"/>
  <c r="G8" i="14"/>
  <c r="E8" i="14"/>
  <c r="B8" i="14"/>
  <c r="Y7" i="14"/>
  <c r="P7" i="14"/>
  <c r="N7" i="14"/>
  <c r="G7" i="14"/>
  <c r="E7" i="14"/>
  <c r="B7" i="14"/>
  <c r="Y6" i="14"/>
  <c r="W6" i="14"/>
  <c r="T6" i="14"/>
  <c r="P6" i="14"/>
  <c r="N6" i="14"/>
  <c r="G6" i="14"/>
  <c r="E6" i="14"/>
  <c r="B6" i="14"/>
  <c r="Y5" i="14"/>
  <c r="W5" i="14"/>
  <c r="T5" i="14"/>
  <c r="P5" i="14"/>
  <c r="N5" i="14"/>
  <c r="G5" i="14"/>
  <c r="E5" i="14"/>
  <c r="B5" i="14"/>
  <c r="Y4" i="14"/>
  <c r="W4" i="14"/>
  <c r="T4" i="14"/>
  <c r="T26" i="14" s="1"/>
  <c r="P4" i="14"/>
  <c r="P26" i="14" s="1"/>
  <c r="N4" i="14"/>
  <c r="E4" i="14"/>
  <c r="B4" i="14"/>
  <c r="I192" i="13"/>
  <c r="I191" i="13"/>
  <c r="I190" i="13"/>
  <c r="I189" i="13"/>
  <c r="I188" i="13"/>
  <c r="N187" i="13"/>
  <c r="I187" i="13"/>
  <c r="N186" i="13"/>
  <c r="N185" i="13"/>
  <c r="N184" i="13"/>
  <c r="N183" i="13"/>
  <c r="N182" i="13"/>
  <c r="N181" i="13"/>
  <c r="N180" i="13"/>
  <c r="N179" i="13"/>
  <c r="N178" i="13"/>
  <c r="N177" i="13"/>
  <c r="N176" i="13"/>
  <c r="N175" i="13"/>
  <c r="N174" i="13"/>
  <c r="N173" i="13"/>
  <c r="N172" i="13"/>
  <c r="N171" i="13"/>
  <c r="N170" i="13"/>
  <c r="N169" i="13"/>
  <c r="N168" i="13"/>
  <c r="N167" i="13"/>
  <c r="N166" i="13"/>
  <c r="N165" i="13"/>
  <c r="N164" i="13"/>
  <c r="N163" i="13"/>
  <c r="N162" i="13"/>
  <c r="N161" i="13"/>
  <c r="N160" i="13"/>
  <c r="N159" i="13"/>
  <c r="N158" i="13"/>
  <c r="N157" i="13"/>
  <c r="N156" i="13"/>
  <c r="N155" i="13"/>
  <c r="N154" i="13"/>
  <c r="N153" i="13"/>
  <c r="N152" i="13"/>
  <c r="N151" i="13"/>
  <c r="N150" i="13"/>
  <c r="N149" i="13"/>
  <c r="N148" i="13"/>
  <c r="N147" i="13"/>
  <c r="N146" i="13"/>
  <c r="N145" i="13"/>
  <c r="N144" i="13"/>
  <c r="N143" i="13"/>
  <c r="N142" i="13"/>
  <c r="N141" i="13"/>
  <c r="N140" i="13"/>
  <c r="C66" i="13"/>
  <c r="C68" i="13" s="1"/>
  <c r="G64" i="13"/>
  <c r="E64" i="13"/>
  <c r="B64" i="13"/>
  <c r="G63" i="13"/>
  <c r="E63" i="13"/>
  <c r="B63" i="13"/>
  <c r="G62" i="13"/>
  <c r="E62" i="13"/>
  <c r="B62" i="13"/>
  <c r="G61" i="13"/>
  <c r="E61" i="13"/>
  <c r="B61" i="13"/>
  <c r="G60" i="13"/>
  <c r="E60" i="13"/>
  <c r="B60" i="13"/>
  <c r="G59" i="13"/>
  <c r="O71" i="13" s="1"/>
  <c r="E59" i="13"/>
  <c r="B59" i="13"/>
  <c r="G58" i="13"/>
  <c r="E58" i="13"/>
  <c r="B58" i="13"/>
  <c r="G57" i="13"/>
  <c r="E57" i="13"/>
  <c r="B57" i="13"/>
  <c r="B66" i="13" s="1"/>
  <c r="G56" i="13"/>
  <c r="E56" i="13"/>
  <c r="B56" i="13"/>
  <c r="G55" i="13"/>
  <c r="G66" i="13" s="1"/>
  <c r="E55" i="13"/>
  <c r="B55" i="13"/>
  <c r="E41" i="13"/>
  <c r="C41" i="13"/>
  <c r="G39" i="13"/>
  <c r="E39" i="13"/>
  <c r="G38" i="13"/>
  <c r="E38" i="13"/>
  <c r="B38" i="13"/>
  <c r="G37" i="13"/>
  <c r="E37" i="13"/>
  <c r="B37" i="13"/>
  <c r="G36" i="13"/>
  <c r="E36" i="13"/>
  <c r="B36" i="13"/>
  <c r="G35" i="13"/>
  <c r="E35" i="13"/>
  <c r="B35" i="13"/>
  <c r="G30" i="13"/>
  <c r="E30" i="13"/>
  <c r="U29" i="13"/>
  <c r="G29" i="13"/>
  <c r="E29" i="13"/>
  <c r="B29" i="13"/>
  <c r="G28" i="13"/>
  <c r="E28" i="13"/>
  <c r="B28" i="13"/>
  <c r="G27" i="13"/>
  <c r="E27" i="13"/>
  <c r="B27" i="13"/>
  <c r="Y26" i="13"/>
  <c r="L26" i="13"/>
  <c r="K26" i="13"/>
  <c r="Y25" i="13"/>
  <c r="Y24" i="13"/>
  <c r="W24" i="13"/>
  <c r="Y23" i="13"/>
  <c r="W23" i="13"/>
  <c r="C23" i="13"/>
  <c r="Y22" i="13"/>
  <c r="W22" i="13"/>
  <c r="Y21" i="13"/>
  <c r="W21" i="13"/>
  <c r="Y20" i="13"/>
  <c r="W20" i="13"/>
  <c r="P19" i="13"/>
  <c r="P18" i="13"/>
  <c r="N18" i="13"/>
  <c r="Y16" i="13"/>
  <c r="W16" i="13"/>
  <c r="G16" i="13"/>
  <c r="E16" i="13"/>
  <c r="B16" i="13"/>
  <c r="B23" i="13" s="1"/>
  <c r="Y15" i="13"/>
  <c r="W15" i="13"/>
  <c r="C13" i="13"/>
  <c r="G11" i="13"/>
  <c r="E11" i="13"/>
  <c r="B11" i="13"/>
  <c r="B13" i="13" s="1"/>
  <c r="G10" i="13"/>
  <c r="E10" i="13"/>
  <c r="B10" i="13"/>
  <c r="G9" i="13"/>
  <c r="E9" i="13"/>
  <c r="B9" i="13"/>
  <c r="U8" i="13"/>
  <c r="P8" i="13"/>
  <c r="N8" i="13"/>
  <c r="G8" i="13"/>
  <c r="E8" i="13"/>
  <c r="B8" i="13"/>
  <c r="Y7" i="13"/>
  <c r="P7" i="13"/>
  <c r="N7" i="13"/>
  <c r="G7" i="13"/>
  <c r="E7" i="13"/>
  <c r="B7" i="13"/>
  <c r="Y6" i="13"/>
  <c r="W6" i="13"/>
  <c r="T6" i="13"/>
  <c r="P6" i="13"/>
  <c r="N6" i="13"/>
  <c r="G6" i="13"/>
  <c r="E6" i="13"/>
  <c r="B6" i="13"/>
  <c r="Y5" i="13"/>
  <c r="W5" i="13"/>
  <c r="T5" i="13"/>
  <c r="P5" i="13"/>
  <c r="N5" i="13"/>
  <c r="G5" i="13"/>
  <c r="E5" i="13"/>
  <c r="B5" i="13"/>
  <c r="Y4" i="13"/>
  <c r="W4" i="13"/>
  <c r="T4" i="13"/>
  <c r="T29" i="13" s="1"/>
  <c r="P4" i="13"/>
  <c r="N4" i="13"/>
  <c r="G4" i="13"/>
  <c r="G13" i="13" s="1"/>
  <c r="G23" i="13" s="1"/>
  <c r="E4" i="13"/>
  <c r="B4" i="13"/>
  <c r="N71" i="14" l="1"/>
  <c r="Y26" i="14"/>
  <c r="B13" i="14"/>
  <c r="G13" i="14"/>
  <c r="G23" i="14" s="1"/>
  <c r="G68" i="14" s="1"/>
  <c r="K71" i="14" s="1"/>
  <c r="M71" i="14"/>
  <c r="P71" i="14" s="1"/>
  <c r="Y29" i="13"/>
  <c r="P26" i="13"/>
  <c r="N71" i="13"/>
  <c r="G41" i="13"/>
  <c r="G68" i="13" s="1"/>
  <c r="K71" i="13" s="1"/>
  <c r="B41" i="13"/>
  <c r="B23" i="14"/>
  <c r="B68" i="14" s="1"/>
  <c r="K69" i="14" s="1"/>
  <c r="B68" i="13"/>
  <c r="K69" i="13" s="1"/>
  <c r="K70" i="14"/>
  <c r="K70" i="13"/>
  <c r="O71" i="14"/>
  <c r="M71" i="13"/>
  <c r="P71" i="13" s="1"/>
  <c r="G41" i="14"/>
  <c r="H26" i="8" l="1"/>
  <c r="D26" i="8"/>
  <c r="C26" i="8"/>
  <c r="H25" i="8"/>
  <c r="D25" i="8"/>
  <c r="C25" i="8"/>
  <c r="H24" i="8"/>
  <c r="D24" i="8"/>
  <c r="C24" i="8"/>
  <c r="H17" i="8"/>
  <c r="D17" i="8"/>
  <c r="C17" i="8"/>
  <c r="H16" i="8"/>
  <c r="D16" i="8"/>
  <c r="C16" i="8"/>
  <c r="H15" i="8"/>
  <c r="D15" i="8"/>
  <c r="C15" i="8"/>
  <c r="G4" i="12"/>
  <c r="I192" i="12" l="1"/>
  <c r="I191" i="12"/>
  <c r="I190" i="12"/>
  <c r="I189" i="12"/>
  <c r="I188" i="12"/>
  <c r="N187" i="12"/>
  <c r="I187" i="12"/>
  <c r="N186" i="12"/>
  <c r="N185" i="12"/>
  <c r="N184" i="12"/>
  <c r="N183" i="12"/>
  <c r="N182" i="12"/>
  <c r="N181" i="12"/>
  <c r="N180" i="12"/>
  <c r="N179" i="12"/>
  <c r="N178" i="12"/>
  <c r="N177" i="12"/>
  <c r="N176" i="12"/>
  <c r="N175" i="12"/>
  <c r="N174" i="12"/>
  <c r="N173" i="12"/>
  <c r="N172" i="12"/>
  <c r="N171" i="12"/>
  <c r="N170" i="12"/>
  <c r="N169" i="12"/>
  <c r="N168" i="12"/>
  <c r="N167" i="12"/>
  <c r="N166" i="12"/>
  <c r="N165" i="12"/>
  <c r="N164" i="12"/>
  <c r="N163" i="12"/>
  <c r="N162" i="12"/>
  <c r="N161" i="12"/>
  <c r="N160" i="12"/>
  <c r="N159" i="12"/>
  <c r="N158" i="12"/>
  <c r="N157" i="12"/>
  <c r="N156" i="12"/>
  <c r="N155" i="12"/>
  <c r="N154" i="12"/>
  <c r="N153" i="12"/>
  <c r="N152" i="12"/>
  <c r="N151" i="12"/>
  <c r="N150" i="12"/>
  <c r="N149" i="12"/>
  <c r="N148" i="12"/>
  <c r="N147" i="12"/>
  <c r="N146" i="12"/>
  <c r="N145" i="12"/>
  <c r="N144" i="12"/>
  <c r="N143" i="12"/>
  <c r="N142" i="12"/>
  <c r="N141" i="12"/>
  <c r="N140" i="12"/>
  <c r="C68" i="12"/>
  <c r="C66" i="12"/>
  <c r="G64" i="12"/>
  <c r="E64" i="12"/>
  <c r="G63" i="12"/>
  <c r="E63" i="12"/>
  <c r="G62" i="12"/>
  <c r="E62" i="12"/>
  <c r="G61" i="12"/>
  <c r="E61" i="12"/>
  <c r="G60" i="12"/>
  <c r="E60" i="12"/>
  <c r="G59" i="12"/>
  <c r="E59" i="12"/>
  <c r="G58" i="12"/>
  <c r="E58" i="12"/>
  <c r="G57" i="12"/>
  <c r="E57" i="12"/>
  <c r="B57" i="12"/>
  <c r="G56" i="12"/>
  <c r="E56" i="12"/>
  <c r="B56" i="12"/>
  <c r="G55" i="12"/>
  <c r="G66" i="12" s="1"/>
  <c r="E55" i="12"/>
  <c r="B55" i="12"/>
  <c r="B66" i="12" s="1"/>
  <c r="E41" i="12"/>
  <c r="C41" i="12"/>
  <c r="G39" i="12"/>
  <c r="E39" i="12"/>
  <c r="G38" i="12"/>
  <c r="E38" i="12"/>
  <c r="B38" i="12"/>
  <c r="G37" i="12"/>
  <c r="E37" i="12"/>
  <c r="B37" i="12"/>
  <c r="G36" i="12"/>
  <c r="E36" i="12"/>
  <c r="B36" i="12"/>
  <c r="G35" i="12"/>
  <c r="E35" i="12"/>
  <c r="B35" i="12"/>
  <c r="G30" i="12"/>
  <c r="E30" i="12"/>
  <c r="G29" i="12"/>
  <c r="E29" i="12"/>
  <c r="B29" i="12"/>
  <c r="G28" i="12"/>
  <c r="E28" i="12"/>
  <c r="B28" i="12"/>
  <c r="G27" i="12"/>
  <c r="E27" i="12"/>
  <c r="B27" i="12"/>
  <c r="B41" i="12" s="1"/>
  <c r="U26" i="12"/>
  <c r="L26" i="12"/>
  <c r="K70" i="12" s="1"/>
  <c r="K26" i="12"/>
  <c r="Y24" i="12"/>
  <c r="W24" i="12"/>
  <c r="Y23" i="12"/>
  <c r="W23" i="12"/>
  <c r="C23" i="12"/>
  <c r="Y22" i="12"/>
  <c r="W22" i="12"/>
  <c r="Y21" i="12"/>
  <c r="W21" i="12"/>
  <c r="Y20" i="12"/>
  <c r="W20" i="12"/>
  <c r="P19" i="12"/>
  <c r="P18" i="12"/>
  <c r="N18" i="12"/>
  <c r="Y16" i="12"/>
  <c r="W16" i="12"/>
  <c r="G16" i="12"/>
  <c r="E16" i="12"/>
  <c r="B16" i="12"/>
  <c r="B23" i="12" s="1"/>
  <c r="Y15" i="12"/>
  <c r="W15" i="12"/>
  <c r="C13" i="12"/>
  <c r="G11" i="12"/>
  <c r="E11" i="12"/>
  <c r="B11" i="12"/>
  <c r="G10" i="12"/>
  <c r="E10" i="12"/>
  <c r="B10" i="12"/>
  <c r="G9" i="12"/>
  <c r="E9" i="12"/>
  <c r="B9" i="12"/>
  <c r="B13" i="12" s="1"/>
  <c r="U8" i="12"/>
  <c r="P8" i="12"/>
  <c r="G8" i="12"/>
  <c r="G13" i="12" s="1"/>
  <c r="G23" i="12" s="1"/>
  <c r="E8" i="12"/>
  <c r="B8" i="12"/>
  <c r="Y7" i="12"/>
  <c r="P7" i="12"/>
  <c r="N7" i="12"/>
  <c r="G7" i="12"/>
  <c r="E7" i="12"/>
  <c r="B7" i="12"/>
  <c r="Y6" i="12"/>
  <c r="W6" i="12"/>
  <c r="T6" i="12"/>
  <c r="P6" i="12"/>
  <c r="N6" i="12"/>
  <c r="G6" i="12"/>
  <c r="E6" i="12"/>
  <c r="B6" i="12"/>
  <c r="Y5" i="12"/>
  <c r="W5" i="12"/>
  <c r="T5" i="12"/>
  <c r="P5" i="12"/>
  <c r="N5" i="12"/>
  <c r="G5" i="12"/>
  <c r="E5" i="12"/>
  <c r="B5" i="12"/>
  <c r="Y4" i="12"/>
  <c r="W4" i="12"/>
  <c r="T4" i="12"/>
  <c r="T26" i="12" s="1"/>
  <c r="P4" i="12"/>
  <c r="N4" i="12"/>
  <c r="M71" i="12"/>
  <c r="E4" i="12"/>
  <c r="B4" i="12"/>
  <c r="I192" i="11"/>
  <c r="I191" i="11"/>
  <c r="I190" i="11"/>
  <c r="I189" i="11"/>
  <c r="I188" i="11"/>
  <c r="N187" i="11"/>
  <c r="I187" i="11"/>
  <c r="N186" i="11"/>
  <c r="N185" i="11"/>
  <c r="N184" i="11"/>
  <c r="N183" i="11"/>
  <c r="N182" i="11"/>
  <c r="N181" i="11"/>
  <c r="N180" i="11"/>
  <c r="N179" i="11"/>
  <c r="N178" i="11"/>
  <c r="N177" i="11"/>
  <c r="N176" i="11"/>
  <c r="N175" i="11"/>
  <c r="N174" i="11"/>
  <c r="N173" i="11"/>
  <c r="N172" i="11"/>
  <c r="N171" i="11"/>
  <c r="N170" i="11"/>
  <c r="N169" i="11"/>
  <c r="N168" i="11"/>
  <c r="N167" i="11"/>
  <c r="N166" i="11"/>
  <c r="N165" i="11"/>
  <c r="N164" i="11"/>
  <c r="N163" i="11"/>
  <c r="N162" i="11"/>
  <c r="N161" i="11"/>
  <c r="N160" i="11"/>
  <c r="N159" i="11"/>
  <c r="N158" i="11"/>
  <c r="N157" i="11"/>
  <c r="N156" i="11"/>
  <c r="N155" i="11"/>
  <c r="N154" i="11"/>
  <c r="N153" i="11"/>
  <c r="N152" i="11"/>
  <c r="N151" i="11"/>
  <c r="N150" i="11"/>
  <c r="N149" i="11"/>
  <c r="N148" i="11"/>
  <c r="N147" i="11"/>
  <c r="N146" i="11"/>
  <c r="N145" i="11"/>
  <c r="N144" i="11"/>
  <c r="N143" i="11"/>
  <c r="N142" i="11"/>
  <c r="N141" i="11"/>
  <c r="N140" i="11"/>
  <c r="C66" i="11"/>
  <c r="G64" i="11"/>
  <c r="E64" i="11"/>
  <c r="B64" i="11"/>
  <c r="G63" i="11"/>
  <c r="E63" i="11"/>
  <c r="B63" i="11"/>
  <c r="G62" i="11"/>
  <c r="E62" i="11"/>
  <c r="B62" i="11"/>
  <c r="G61" i="11"/>
  <c r="E61" i="11"/>
  <c r="B61" i="11"/>
  <c r="G60" i="11"/>
  <c r="E60" i="11"/>
  <c r="B60" i="11"/>
  <c r="G59" i="11"/>
  <c r="E59" i="11"/>
  <c r="B59" i="11"/>
  <c r="G58" i="11"/>
  <c r="E58" i="11"/>
  <c r="B58" i="11"/>
  <c r="G57" i="11"/>
  <c r="E57" i="11"/>
  <c r="B57" i="11"/>
  <c r="G56" i="11"/>
  <c r="E56" i="11"/>
  <c r="B56" i="11"/>
  <c r="G55" i="11"/>
  <c r="G66" i="11" s="1"/>
  <c r="E55" i="11"/>
  <c r="B55" i="11"/>
  <c r="B66" i="11" s="1"/>
  <c r="E41" i="11"/>
  <c r="C41" i="11"/>
  <c r="C68" i="11" s="1"/>
  <c r="G39" i="11"/>
  <c r="E39" i="11"/>
  <c r="G38" i="11"/>
  <c r="E38" i="11"/>
  <c r="B38" i="11"/>
  <c r="G37" i="11"/>
  <c r="E37" i="11"/>
  <c r="B37" i="11"/>
  <c r="G36" i="11"/>
  <c r="E36" i="11"/>
  <c r="B36" i="11"/>
  <c r="G35" i="11"/>
  <c r="E35" i="11"/>
  <c r="B35" i="11"/>
  <c r="G30" i="11"/>
  <c r="E30" i="11"/>
  <c r="U29" i="11"/>
  <c r="G29" i="11"/>
  <c r="E29" i="11"/>
  <c r="B29" i="11"/>
  <c r="G28" i="11"/>
  <c r="E28" i="11"/>
  <c r="B28" i="11"/>
  <c r="G27" i="11"/>
  <c r="E27" i="11"/>
  <c r="B27" i="11"/>
  <c r="B41" i="11" s="1"/>
  <c r="Y26" i="11"/>
  <c r="L26" i="11"/>
  <c r="K26" i="11"/>
  <c r="Y25" i="11"/>
  <c r="Y24" i="11"/>
  <c r="W24" i="11"/>
  <c r="Y23" i="11"/>
  <c r="W23" i="11"/>
  <c r="C23" i="11"/>
  <c r="Y22" i="11"/>
  <c r="W22" i="11"/>
  <c r="Y21" i="11"/>
  <c r="W21" i="11"/>
  <c r="Y20" i="11"/>
  <c r="W20" i="11"/>
  <c r="P19" i="11"/>
  <c r="P18" i="11"/>
  <c r="N18" i="11"/>
  <c r="Y16" i="11"/>
  <c r="W16" i="11"/>
  <c r="G16" i="11"/>
  <c r="E16" i="11"/>
  <c r="B16" i="11"/>
  <c r="Y15" i="11"/>
  <c r="W15" i="11"/>
  <c r="C13" i="11"/>
  <c r="G11" i="11"/>
  <c r="E11" i="11"/>
  <c r="B11" i="11"/>
  <c r="G10" i="11"/>
  <c r="E10" i="11"/>
  <c r="B10" i="11"/>
  <c r="G9" i="11"/>
  <c r="E9" i="11"/>
  <c r="B9" i="11"/>
  <c r="U8" i="11"/>
  <c r="P8" i="11"/>
  <c r="N8" i="11"/>
  <c r="G8" i="11"/>
  <c r="E8" i="11"/>
  <c r="B8" i="11"/>
  <c r="Y7" i="11"/>
  <c r="P7" i="11"/>
  <c r="N7" i="11"/>
  <c r="G7" i="11"/>
  <c r="E7" i="11"/>
  <c r="B7" i="11"/>
  <c r="Y6" i="11"/>
  <c r="W6" i="11"/>
  <c r="T6" i="11"/>
  <c r="P6" i="11"/>
  <c r="N6" i="11"/>
  <c r="G6" i="11"/>
  <c r="E6" i="11"/>
  <c r="B6" i="11"/>
  <c r="Y5" i="11"/>
  <c r="W5" i="11"/>
  <c r="T5" i="11"/>
  <c r="P5" i="11"/>
  <c r="N5" i="11"/>
  <c r="G5" i="11"/>
  <c r="E5" i="11"/>
  <c r="B5" i="11"/>
  <c r="Y4" i="11"/>
  <c r="W4" i="11"/>
  <c r="T4" i="11"/>
  <c r="T29" i="11" s="1"/>
  <c r="P4" i="11"/>
  <c r="N4" i="11"/>
  <c r="G4" i="11"/>
  <c r="E4" i="11"/>
  <c r="B4" i="11"/>
  <c r="Y26" i="12" l="1"/>
  <c r="N71" i="12"/>
  <c r="P26" i="12"/>
  <c r="Y29" i="11"/>
  <c r="P26" i="11"/>
  <c r="N71" i="11"/>
  <c r="B13" i="11"/>
  <c r="B23" i="11"/>
  <c r="B68" i="11" s="1"/>
  <c r="K69" i="11" s="1"/>
  <c r="M71" i="11"/>
  <c r="G13" i="11"/>
  <c r="G23" i="11" s="1"/>
  <c r="B68" i="12"/>
  <c r="K69" i="12"/>
  <c r="O71" i="12"/>
  <c r="P71" i="12" s="1"/>
  <c r="G41" i="12"/>
  <c r="G68" i="12" s="1"/>
  <c r="K71" i="12" s="1"/>
  <c r="K70" i="11"/>
  <c r="O71" i="11"/>
  <c r="G41" i="11"/>
  <c r="G68" i="11" l="1"/>
  <c r="K71" i="11" s="1"/>
  <c r="P71" i="11"/>
  <c r="H8" i="8"/>
  <c r="D8" i="8"/>
  <c r="C8" i="8"/>
  <c r="H7" i="8"/>
  <c r="D7" i="8"/>
  <c r="C7" i="8"/>
  <c r="H6" i="8"/>
  <c r="D6" i="8"/>
  <c r="C6" i="8"/>
  <c r="C12" i="8"/>
  <c r="K161" i="8"/>
  <c r="I161" i="8"/>
  <c r="K160" i="8"/>
  <c r="I160" i="8"/>
  <c r="K159" i="8"/>
  <c r="I159" i="8"/>
  <c r="K158" i="8"/>
  <c r="I158" i="8"/>
  <c r="K157" i="8"/>
  <c r="I157" i="8"/>
  <c r="K156" i="8"/>
  <c r="I156" i="8"/>
  <c r="K155" i="8"/>
  <c r="I155" i="8"/>
  <c r="K154" i="8"/>
  <c r="I154" i="8"/>
  <c r="K153" i="8"/>
  <c r="I153" i="8"/>
  <c r="K152" i="8"/>
  <c r="I152" i="8"/>
  <c r="K151" i="8"/>
  <c r="I151" i="8"/>
  <c r="K150" i="8"/>
  <c r="I150" i="8"/>
  <c r="K149" i="8"/>
  <c r="I149" i="8"/>
  <c r="K148" i="8"/>
  <c r="I148" i="8"/>
  <c r="K147" i="8"/>
  <c r="I147" i="8"/>
  <c r="K146" i="8"/>
  <c r="I146" i="8"/>
  <c r="K145" i="8"/>
  <c r="I145" i="8"/>
  <c r="K144" i="8"/>
  <c r="I144" i="8"/>
  <c r="K143" i="8"/>
  <c r="I143" i="8"/>
  <c r="K142" i="8"/>
  <c r="I142" i="8"/>
  <c r="K141" i="8"/>
  <c r="I141" i="8"/>
  <c r="K140" i="8"/>
  <c r="I140" i="8"/>
  <c r="K139" i="8"/>
  <c r="I139" i="8"/>
  <c r="K138" i="8"/>
  <c r="I138" i="8"/>
  <c r="K137" i="8"/>
  <c r="I137" i="8"/>
  <c r="K136" i="8"/>
  <c r="I136" i="8"/>
  <c r="K135" i="8"/>
  <c r="I135" i="8"/>
  <c r="K134" i="8"/>
  <c r="I134" i="8"/>
  <c r="K133" i="8"/>
  <c r="I133" i="8"/>
  <c r="K132" i="8"/>
  <c r="I132" i="8"/>
  <c r="K131" i="8"/>
  <c r="I131" i="8"/>
  <c r="K130" i="8"/>
  <c r="I130" i="8"/>
  <c r="K129" i="8"/>
  <c r="I129" i="8"/>
  <c r="K128" i="8"/>
  <c r="I128" i="8"/>
  <c r="K127" i="8"/>
  <c r="I127" i="8"/>
  <c r="K126" i="8"/>
  <c r="I126" i="8"/>
  <c r="K125" i="8"/>
  <c r="I125" i="8"/>
  <c r="K124" i="8"/>
  <c r="I124" i="8"/>
  <c r="K123" i="8"/>
  <c r="I123" i="8"/>
  <c r="K122" i="8"/>
  <c r="I122" i="8"/>
  <c r="K121" i="8"/>
  <c r="I121" i="8"/>
  <c r="K120" i="8"/>
  <c r="I120" i="8"/>
  <c r="K119" i="8"/>
  <c r="I119" i="8"/>
  <c r="K118" i="8"/>
  <c r="I118" i="8"/>
  <c r="K117" i="8"/>
  <c r="I117" i="8"/>
  <c r="K116" i="8"/>
  <c r="I116" i="8"/>
  <c r="K115" i="8"/>
  <c r="I115" i="8"/>
  <c r="K114" i="8"/>
  <c r="I114" i="8"/>
  <c r="K113" i="8"/>
  <c r="I113" i="8"/>
  <c r="K112" i="8"/>
  <c r="I112" i="8"/>
  <c r="K111" i="8"/>
  <c r="I111" i="8"/>
  <c r="K110" i="8"/>
  <c r="I110" i="8"/>
  <c r="K109" i="8"/>
  <c r="I109" i="8"/>
  <c r="K108" i="8"/>
  <c r="I108" i="8"/>
  <c r="K107" i="8"/>
  <c r="I107" i="8"/>
  <c r="K106" i="8"/>
  <c r="I106" i="8"/>
  <c r="K105" i="8"/>
  <c r="I105" i="8"/>
  <c r="K104" i="8"/>
  <c r="I104" i="8"/>
  <c r="K103" i="8"/>
  <c r="I103" i="8"/>
  <c r="K102" i="8"/>
  <c r="I102" i="8"/>
  <c r="K101" i="8"/>
  <c r="I101" i="8"/>
  <c r="K100" i="8"/>
  <c r="I100" i="8"/>
  <c r="K99" i="8"/>
  <c r="I99" i="8"/>
  <c r="K98" i="8"/>
  <c r="I98" i="8"/>
  <c r="K97" i="8"/>
  <c r="I97" i="8"/>
  <c r="K96" i="8"/>
  <c r="I96" i="8"/>
  <c r="K95" i="8"/>
  <c r="G97" i="9" s="1"/>
  <c r="I95" i="8"/>
  <c r="K94" i="8"/>
  <c r="I94" i="8"/>
  <c r="K93" i="8"/>
  <c r="I93" i="8"/>
  <c r="K92" i="8"/>
  <c r="I92" i="8"/>
  <c r="K91" i="8"/>
  <c r="I91" i="8"/>
  <c r="K90" i="8"/>
  <c r="I90" i="8"/>
  <c r="K89" i="8"/>
  <c r="I89" i="8"/>
  <c r="K88" i="8"/>
  <c r="I88" i="8"/>
  <c r="K87" i="8"/>
  <c r="I87" i="8"/>
  <c r="K86" i="8"/>
  <c r="I86" i="8"/>
  <c r="K85" i="8"/>
  <c r="I85" i="8"/>
  <c r="K84" i="8"/>
  <c r="I84" i="8"/>
  <c r="I191" i="10"/>
  <c r="I190" i="10"/>
  <c r="I189" i="10"/>
  <c r="I188" i="10"/>
  <c r="I187" i="10"/>
  <c r="N186" i="10"/>
  <c r="I186" i="10"/>
  <c r="N185" i="10"/>
  <c r="N184" i="10"/>
  <c r="N183" i="10"/>
  <c r="N182" i="10"/>
  <c r="N181" i="10"/>
  <c r="N180" i="10"/>
  <c r="N179" i="10"/>
  <c r="N178" i="10"/>
  <c r="N177" i="10"/>
  <c r="N176" i="10"/>
  <c r="N175" i="10"/>
  <c r="N174" i="10"/>
  <c r="N173" i="10"/>
  <c r="N172" i="10"/>
  <c r="N171" i="10"/>
  <c r="N170" i="10"/>
  <c r="N169" i="10"/>
  <c r="N168" i="10"/>
  <c r="N167" i="10"/>
  <c r="N166" i="10"/>
  <c r="N165" i="10"/>
  <c r="N164" i="10"/>
  <c r="N163" i="10"/>
  <c r="N162" i="10"/>
  <c r="N161" i="10"/>
  <c r="N160" i="10"/>
  <c r="N159" i="10"/>
  <c r="N158" i="10"/>
  <c r="N157" i="10"/>
  <c r="N156" i="10"/>
  <c r="N155" i="10"/>
  <c r="N154" i="10"/>
  <c r="N153" i="10"/>
  <c r="N152" i="10"/>
  <c r="N151" i="10"/>
  <c r="N150" i="10"/>
  <c r="N149" i="10"/>
  <c r="N148" i="10"/>
  <c r="N147" i="10"/>
  <c r="N146" i="10"/>
  <c r="N145" i="10"/>
  <c r="N144" i="10"/>
  <c r="N143" i="10"/>
  <c r="N142" i="10"/>
  <c r="N141" i="10"/>
  <c r="N140" i="10"/>
  <c r="N139" i="10"/>
  <c r="D67" i="10"/>
  <c r="C65" i="10"/>
  <c r="G63" i="10"/>
  <c r="E63" i="10"/>
  <c r="B63" i="10"/>
  <c r="G62" i="10"/>
  <c r="E62" i="10"/>
  <c r="B62" i="10"/>
  <c r="G61" i="10"/>
  <c r="E61" i="10"/>
  <c r="B61" i="10"/>
  <c r="G60" i="10"/>
  <c r="E60" i="10"/>
  <c r="B60" i="10"/>
  <c r="G59" i="10"/>
  <c r="E59" i="10"/>
  <c r="B59" i="10"/>
  <c r="G58" i="10"/>
  <c r="E58" i="10"/>
  <c r="B58" i="10"/>
  <c r="G57" i="10"/>
  <c r="E57" i="10"/>
  <c r="B57" i="10"/>
  <c r="G56" i="10"/>
  <c r="E56" i="10"/>
  <c r="B56" i="10"/>
  <c r="G55" i="10"/>
  <c r="E55" i="10"/>
  <c r="B55" i="10"/>
  <c r="G54" i="10"/>
  <c r="G65" i="10" s="1"/>
  <c r="E54" i="10"/>
  <c r="B54" i="10"/>
  <c r="B65" i="10" s="1"/>
  <c r="B67" i="10" s="1"/>
  <c r="G40" i="10"/>
  <c r="N70" i="10" s="1"/>
  <c r="E40" i="10"/>
  <c r="C40" i="10"/>
  <c r="C67" i="10" s="1"/>
  <c r="G38" i="10"/>
  <c r="E38" i="10"/>
  <c r="B38" i="10"/>
  <c r="G37" i="10"/>
  <c r="E37" i="10"/>
  <c r="B37" i="10"/>
  <c r="G36" i="10"/>
  <c r="E36" i="10"/>
  <c r="B36" i="10"/>
  <c r="G35" i="10"/>
  <c r="E35" i="10"/>
  <c r="B35" i="10"/>
  <c r="G34" i="10"/>
  <c r="E34" i="10"/>
  <c r="B34" i="10"/>
  <c r="G28" i="10"/>
  <c r="E28" i="10"/>
  <c r="B28" i="10"/>
  <c r="G27" i="10"/>
  <c r="E27" i="10"/>
  <c r="B27" i="10"/>
  <c r="G26" i="10"/>
  <c r="E26" i="10"/>
  <c r="B26" i="10"/>
  <c r="B40" i="10" s="1"/>
  <c r="U25" i="10"/>
  <c r="L25" i="10"/>
  <c r="K69" i="10" s="1"/>
  <c r="K25" i="10"/>
  <c r="Y23" i="10"/>
  <c r="W23" i="10"/>
  <c r="Y22" i="10"/>
  <c r="W22" i="10"/>
  <c r="C22" i="10"/>
  <c r="Y21" i="10"/>
  <c r="W21" i="10"/>
  <c r="Y20" i="10"/>
  <c r="W20" i="10"/>
  <c r="P19" i="10"/>
  <c r="N19" i="10"/>
  <c r="P18" i="10"/>
  <c r="N18" i="10"/>
  <c r="Y16" i="10"/>
  <c r="W16" i="10"/>
  <c r="G16" i="10"/>
  <c r="E16" i="10"/>
  <c r="B16" i="10"/>
  <c r="Y15" i="10"/>
  <c r="W15" i="10"/>
  <c r="C13" i="10"/>
  <c r="G10" i="10"/>
  <c r="E10" i="10"/>
  <c r="B10" i="10"/>
  <c r="B13" i="10" s="1"/>
  <c r="B22" i="10" s="1"/>
  <c r="G9" i="10"/>
  <c r="E9" i="10"/>
  <c r="B9" i="10"/>
  <c r="U8" i="10"/>
  <c r="P8" i="10"/>
  <c r="G8" i="10"/>
  <c r="E8" i="10"/>
  <c r="B8" i="10"/>
  <c r="Y7" i="10"/>
  <c r="P7" i="10"/>
  <c r="P25" i="10" s="1"/>
  <c r="G7" i="10"/>
  <c r="E7" i="10"/>
  <c r="B7" i="10"/>
  <c r="Y6" i="10"/>
  <c r="W6" i="10"/>
  <c r="T6" i="10"/>
  <c r="P6" i="10"/>
  <c r="N6" i="10"/>
  <c r="G6" i="10"/>
  <c r="E6" i="10"/>
  <c r="B6" i="10"/>
  <c r="Y5" i="10"/>
  <c r="W5" i="10"/>
  <c r="T5" i="10"/>
  <c r="P5" i="10"/>
  <c r="N5" i="10"/>
  <c r="G5" i="10"/>
  <c r="E5" i="10"/>
  <c r="B5" i="10"/>
  <c r="Y4" i="10"/>
  <c r="Y25" i="10" s="1"/>
  <c r="W4" i="10"/>
  <c r="T4" i="10"/>
  <c r="T25" i="10" s="1"/>
  <c r="P4" i="10"/>
  <c r="N4" i="10"/>
  <c r="G4" i="10"/>
  <c r="G13" i="10" s="1"/>
  <c r="G22" i="10" s="1"/>
  <c r="E4" i="10"/>
  <c r="B4" i="10"/>
  <c r="D90" i="9"/>
  <c r="G88" i="9"/>
  <c r="G87" i="9"/>
  <c r="G86" i="9"/>
  <c r="G85" i="9"/>
  <c r="G84" i="9"/>
  <c r="D81" i="9"/>
  <c r="G79" i="9"/>
  <c r="G78" i="9"/>
  <c r="G77" i="9"/>
  <c r="G76" i="9"/>
  <c r="G75" i="9"/>
  <c r="D72" i="9"/>
  <c r="G69" i="9"/>
  <c r="G68" i="9"/>
  <c r="G67" i="9"/>
  <c r="G66" i="9"/>
  <c r="D63" i="9"/>
  <c r="D54" i="9"/>
  <c r="D39" i="9"/>
  <c r="D45" i="9" s="1"/>
  <c r="D34" i="9"/>
  <c r="D33" i="9"/>
  <c r="D32" i="9"/>
  <c r="D31" i="9"/>
  <c r="D30" i="9"/>
  <c r="D36" i="9" s="1"/>
  <c r="D27" i="9"/>
  <c r="D18" i="9"/>
  <c r="C9" i="9"/>
  <c r="E7" i="9"/>
  <c r="C16" i="9" s="1"/>
  <c r="E16" i="9" s="1"/>
  <c r="C25" i="9" s="1"/>
  <c r="E25" i="9" s="1"/>
  <c r="C34" i="9" s="1"/>
  <c r="E34" i="9" s="1"/>
  <c r="C43" i="9" s="1"/>
  <c r="E43" i="9" s="1"/>
  <c r="C52" i="9" s="1"/>
  <c r="E52" i="9" s="1"/>
  <c r="C61" i="9" s="1"/>
  <c r="E61" i="9" s="1"/>
  <c r="C70" i="9" s="1"/>
  <c r="E70" i="9" s="1"/>
  <c r="C79" i="9" s="1"/>
  <c r="E79" i="9" s="1"/>
  <c r="C88" i="9" s="1"/>
  <c r="E88" i="9" s="1"/>
  <c r="C97" i="9" s="1"/>
  <c r="E97" i="9" s="1"/>
  <c r="D7" i="9"/>
  <c r="E6" i="9"/>
  <c r="C15" i="9" s="1"/>
  <c r="E15" i="9" s="1"/>
  <c r="C24" i="9" s="1"/>
  <c r="E24" i="9" s="1"/>
  <c r="C33" i="9" s="1"/>
  <c r="E33" i="9" s="1"/>
  <c r="C42" i="9" s="1"/>
  <c r="E42" i="9" s="1"/>
  <c r="C51" i="9" s="1"/>
  <c r="E51" i="9" s="1"/>
  <c r="C60" i="9" s="1"/>
  <c r="E60" i="9" s="1"/>
  <c r="C69" i="9" s="1"/>
  <c r="E69" i="9" s="1"/>
  <c r="C78" i="9" s="1"/>
  <c r="E78" i="9" s="1"/>
  <c r="C87" i="9" s="1"/>
  <c r="E87" i="9" s="1"/>
  <c r="C96" i="9" s="1"/>
  <c r="E96" i="9" s="1"/>
  <c r="D5" i="9"/>
  <c r="E5" i="9" s="1"/>
  <c r="C14" i="9" s="1"/>
  <c r="E14" i="9" s="1"/>
  <c r="C23" i="9" s="1"/>
  <c r="E23" i="9" s="1"/>
  <c r="C32" i="9" s="1"/>
  <c r="E32" i="9" s="1"/>
  <c r="C41" i="9" s="1"/>
  <c r="E41" i="9" s="1"/>
  <c r="C50" i="9" s="1"/>
  <c r="E50" i="9" s="1"/>
  <c r="C59" i="9" s="1"/>
  <c r="E59" i="9" s="1"/>
  <c r="C68" i="9" s="1"/>
  <c r="E68" i="9" s="1"/>
  <c r="C77" i="9" s="1"/>
  <c r="E77" i="9" s="1"/>
  <c r="C86" i="9" s="1"/>
  <c r="E86" i="9" s="1"/>
  <c r="C95" i="9" s="1"/>
  <c r="D4" i="9"/>
  <c r="D9" i="9" s="1"/>
  <c r="J11" i="9" s="1"/>
  <c r="D3" i="9"/>
  <c r="E3" i="9" s="1"/>
  <c r="K83" i="8"/>
  <c r="I83" i="8"/>
  <c r="G80" i="8"/>
  <c r="L82" i="8" s="1"/>
  <c r="O79" i="8"/>
  <c r="J78" i="8"/>
  <c r="I75" i="8"/>
  <c r="H75" i="8"/>
  <c r="E75" i="8"/>
  <c r="D75" i="8"/>
  <c r="C75" i="8"/>
  <c r="L73" i="8"/>
  <c r="I66" i="8"/>
  <c r="H66" i="8"/>
  <c r="E66" i="8"/>
  <c r="D66" i="8"/>
  <c r="C66" i="8"/>
  <c r="L64" i="8"/>
  <c r="I57" i="8"/>
  <c r="E57" i="8"/>
  <c r="C57" i="8"/>
  <c r="L55" i="8"/>
  <c r="D57" i="8"/>
  <c r="I48" i="8"/>
  <c r="E48" i="8"/>
  <c r="L46" i="8"/>
  <c r="D48" i="8"/>
  <c r="C48" i="8"/>
  <c r="I39" i="8"/>
  <c r="E39" i="8"/>
  <c r="D39" i="8"/>
  <c r="C39" i="8"/>
  <c r="L37" i="8"/>
  <c r="I30" i="8"/>
  <c r="E30" i="8"/>
  <c r="C30" i="8"/>
  <c r="L28" i="8"/>
  <c r="H30" i="8"/>
  <c r="D30" i="8"/>
  <c r="E21" i="8"/>
  <c r="E78" i="8" s="1"/>
  <c r="L19" i="8"/>
  <c r="H21" i="8"/>
  <c r="D21" i="8"/>
  <c r="C21" i="8"/>
  <c r="I12" i="8"/>
  <c r="I78" i="8" s="1"/>
  <c r="E12" i="8"/>
  <c r="L11" i="8"/>
  <c r="H12" i="8"/>
  <c r="D12" i="8"/>
  <c r="I192" i="7"/>
  <c r="I191" i="7"/>
  <c r="I190" i="7"/>
  <c r="I189" i="7"/>
  <c r="I188" i="7"/>
  <c r="N187" i="7"/>
  <c r="I187" i="7"/>
  <c r="N186" i="7"/>
  <c r="N185" i="7"/>
  <c r="N184" i="7"/>
  <c r="N183" i="7"/>
  <c r="N182" i="7"/>
  <c r="N181" i="7"/>
  <c r="N180" i="7"/>
  <c r="N179" i="7"/>
  <c r="N178" i="7"/>
  <c r="N177" i="7"/>
  <c r="N176" i="7"/>
  <c r="N175" i="7"/>
  <c r="N174" i="7"/>
  <c r="N173" i="7"/>
  <c r="N172" i="7"/>
  <c r="N171" i="7"/>
  <c r="N170" i="7"/>
  <c r="N169" i="7"/>
  <c r="N168" i="7"/>
  <c r="N167" i="7"/>
  <c r="N166" i="7"/>
  <c r="N165" i="7"/>
  <c r="N164" i="7"/>
  <c r="N163" i="7"/>
  <c r="N162" i="7"/>
  <c r="N161" i="7"/>
  <c r="N160" i="7"/>
  <c r="N159" i="7"/>
  <c r="N158" i="7"/>
  <c r="N157" i="7"/>
  <c r="N156" i="7"/>
  <c r="N155" i="7"/>
  <c r="N154" i="7"/>
  <c r="N153" i="7"/>
  <c r="N152" i="7"/>
  <c r="N151" i="7"/>
  <c r="N150" i="7"/>
  <c r="N149" i="7"/>
  <c r="N148" i="7"/>
  <c r="N147" i="7"/>
  <c r="N146" i="7"/>
  <c r="N145" i="7"/>
  <c r="N144" i="7"/>
  <c r="N143" i="7"/>
  <c r="N142" i="7"/>
  <c r="N141" i="7"/>
  <c r="N140" i="7"/>
  <c r="C66" i="7"/>
  <c r="G64" i="7"/>
  <c r="E64" i="7"/>
  <c r="B64" i="7"/>
  <c r="G63" i="7"/>
  <c r="E63" i="7"/>
  <c r="B63" i="7"/>
  <c r="G62" i="7"/>
  <c r="E62" i="7"/>
  <c r="B62" i="7"/>
  <c r="G61" i="7"/>
  <c r="E61" i="7"/>
  <c r="B61" i="7"/>
  <c r="G60" i="7"/>
  <c r="E60" i="7"/>
  <c r="B60" i="7"/>
  <c r="G59" i="7"/>
  <c r="E59" i="7"/>
  <c r="B59" i="7"/>
  <c r="G58" i="7"/>
  <c r="E58" i="7"/>
  <c r="B58" i="7"/>
  <c r="G57" i="7"/>
  <c r="E57" i="7"/>
  <c r="B57" i="7"/>
  <c r="G56" i="7"/>
  <c r="E56" i="7"/>
  <c r="B56" i="7"/>
  <c r="G55" i="7"/>
  <c r="E55" i="7"/>
  <c r="B55" i="7"/>
  <c r="E41" i="7"/>
  <c r="C41" i="7"/>
  <c r="C68" i="7" s="1"/>
  <c r="G39" i="7"/>
  <c r="E39" i="7"/>
  <c r="G38" i="7"/>
  <c r="E38" i="7"/>
  <c r="B38" i="7"/>
  <c r="G37" i="7"/>
  <c r="E37" i="7"/>
  <c r="B37" i="7"/>
  <c r="G36" i="7"/>
  <c r="E36" i="7"/>
  <c r="B36" i="7"/>
  <c r="G35" i="7"/>
  <c r="E35" i="7"/>
  <c r="B35" i="7"/>
  <c r="G30" i="7"/>
  <c r="E30" i="7"/>
  <c r="U29" i="7"/>
  <c r="G29" i="7"/>
  <c r="E29" i="7"/>
  <c r="B29" i="7"/>
  <c r="G28" i="7"/>
  <c r="E28" i="7"/>
  <c r="B28" i="7"/>
  <c r="B41" i="7" s="1"/>
  <c r="G27" i="7"/>
  <c r="E27" i="7"/>
  <c r="B27" i="7"/>
  <c r="Y26" i="7"/>
  <c r="L26" i="7"/>
  <c r="K26" i="7"/>
  <c r="Y25" i="7"/>
  <c r="Y24" i="7"/>
  <c r="W24" i="7"/>
  <c r="Y23" i="7"/>
  <c r="W23" i="7"/>
  <c r="C23" i="7"/>
  <c r="Y22" i="7"/>
  <c r="W22" i="7"/>
  <c r="Y21" i="7"/>
  <c r="W21" i="7"/>
  <c r="Y20" i="7"/>
  <c r="W20" i="7"/>
  <c r="P19" i="7"/>
  <c r="P18" i="7"/>
  <c r="N18" i="7"/>
  <c r="Y16" i="7"/>
  <c r="W16" i="7"/>
  <c r="G16" i="7"/>
  <c r="E16" i="7"/>
  <c r="B16" i="7"/>
  <c r="B23" i="7" s="1"/>
  <c r="Y15" i="7"/>
  <c r="W15" i="7"/>
  <c r="C13" i="7"/>
  <c r="G11" i="7"/>
  <c r="E11" i="7"/>
  <c r="B11" i="7"/>
  <c r="G10" i="7"/>
  <c r="E10" i="7"/>
  <c r="B10" i="7"/>
  <c r="G9" i="7"/>
  <c r="E9" i="7"/>
  <c r="B9" i="7"/>
  <c r="U8" i="7"/>
  <c r="P8" i="7"/>
  <c r="N8" i="7"/>
  <c r="G8" i="7"/>
  <c r="E8" i="7"/>
  <c r="B8" i="7"/>
  <c r="B13" i="7" s="1"/>
  <c r="Y7" i="7"/>
  <c r="P7" i="7"/>
  <c r="N7" i="7"/>
  <c r="G7" i="7"/>
  <c r="E7" i="7"/>
  <c r="B7" i="7"/>
  <c r="Y6" i="7"/>
  <c r="W6" i="7"/>
  <c r="T6" i="7"/>
  <c r="P6" i="7"/>
  <c r="N6" i="7"/>
  <c r="G6" i="7"/>
  <c r="E6" i="7"/>
  <c r="B6" i="7"/>
  <c r="Y5" i="7"/>
  <c r="W5" i="7"/>
  <c r="T5" i="7"/>
  <c r="P5" i="7"/>
  <c r="N5" i="7"/>
  <c r="G5" i="7"/>
  <c r="E5" i="7"/>
  <c r="B5" i="7"/>
  <c r="Y4" i="7"/>
  <c r="W4" i="7"/>
  <c r="T4" i="7"/>
  <c r="T29" i="7" s="1"/>
  <c r="P4" i="7"/>
  <c r="N4" i="7"/>
  <c r="G4" i="7"/>
  <c r="M71" i="7" s="1"/>
  <c r="E4" i="7"/>
  <c r="B4" i="7"/>
  <c r="E95" i="9" l="1"/>
  <c r="C103" i="9" s="1"/>
  <c r="G94" i="9"/>
  <c r="G93" i="9"/>
  <c r="C78" i="8"/>
  <c r="Y29" i="7"/>
  <c r="B66" i="7"/>
  <c r="G66" i="7"/>
  <c r="K162" i="8"/>
  <c r="M70" i="10"/>
  <c r="G67" i="10"/>
  <c r="K70" i="10" s="1"/>
  <c r="K68" i="10"/>
  <c r="O70" i="10"/>
  <c r="C12" i="9"/>
  <c r="E4" i="9"/>
  <c r="C13" i="9" s="1"/>
  <c r="E13" i="9" s="1"/>
  <c r="C22" i="9" s="1"/>
  <c r="E22" i="9" s="1"/>
  <c r="C31" i="9" s="1"/>
  <c r="E31" i="9" s="1"/>
  <c r="C40" i="9" s="1"/>
  <c r="E40" i="9" s="1"/>
  <c r="C49" i="9" s="1"/>
  <c r="E49" i="9" s="1"/>
  <c r="C58" i="9" s="1"/>
  <c r="E58" i="9" s="1"/>
  <c r="C67" i="9" s="1"/>
  <c r="E67" i="9" s="1"/>
  <c r="C76" i="9" s="1"/>
  <c r="E76" i="9" s="1"/>
  <c r="C85" i="9" s="1"/>
  <c r="E85" i="9" s="1"/>
  <c r="C94" i="9" s="1"/>
  <c r="E94" i="9" s="1"/>
  <c r="D78" i="8"/>
  <c r="M11" i="8"/>
  <c r="H57" i="8"/>
  <c r="H39" i="8"/>
  <c r="H48" i="8"/>
  <c r="N71" i="7"/>
  <c r="P26" i="7"/>
  <c r="K70" i="7"/>
  <c r="B68" i="7"/>
  <c r="K69" i="7"/>
  <c r="O71" i="7"/>
  <c r="G13" i="7"/>
  <c r="G23" i="7" s="1"/>
  <c r="G41" i="7"/>
  <c r="E103" i="9" l="1"/>
  <c r="E106" i="9" s="1"/>
  <c r="C107" i="9"/>
  <c r="H78" i="8"/>
  <c r="G79" i="8" s="1"/>
  <c r="I164" i="8" s="1"/>
  <c r="P71" i="7"/>
  <c r="P70" i="10"/>
  <c r="E12" i="9"/>
  <c r="C18" i="9"/>
  <c r="E8" i="9"/>
  <c r="G68" i="7"/>
  <c r="K71" i="7" s="1"/>
  <c r="E17" i="9" l="1"/>
  <c r="C21" i="9"/>
  <c r="E21" i="9" l="1"/>
  <c r="C27" i="9"/>
  <c r="C30" i="9" l="1"/>
  <c r="E26" i="9"/>
  <c r="C36" i="9" l="1"/>
  <c r="E30" i="9"/>
  <c r="C39" i="9" l="1"/>
  <c r="E35" i="9"/>
  <c r="I11" i="9" s="1"/>
  <c r="K11" i="9" s="1"/>
  <c r="C45" i="9" l="1"/>
  <c r="E39" i="9"/>
  <c r="C48" i="9" l="1"/>
  <c r="E44" i="9"/>
  <c r="C54" i="9" l="1"/>
  <c r="E48" i="9"/>
  <c r="E53" i="9" l="1"/>
  <c r="C57" i="9"/>
  <c r="C63" i="9" l="1"/>
  <c r="E57" i="9"/>
  <c r="E62" i="9" l="1"/>
  <c r="C66" i="9"/>
  <c r="C72" i="9" l="1"/>
  <c r="E66" i="9"/>
  <c r="E71" i="9" l="1"/>
  <c r="C75" i="9"/>
  <c r="C81" i="9" l="1"/>
  <c r="E75" i="9"/>
  <c r="C84" i="9" l="1"/>
  <c r="E80" i="9"/>
  <c r="E84" i="9" l="1"/>
  <c r="C93" i="9" s="1"/>
  <c r="C90" i="9"/>
  <c r="C99" i="9" l="1"/>
  <c r="E93" i="9"/>
  <c r="E98" i="9" s="1"/>
  <c r="E89" i="9"/>
</calcChain>
</file>

<file path=xl/sharedStrings.xml><?xml version="1.0" encoding="utf-8"?>
<sst xmlns="http://schemas.openxmlformats.org/spreadsheetml/2006/main" count="4216" uniqueCount="384">
  <si>
    <t>ZONA NORTE</t>
  </si>
  <si>
    <t>RUTAS CICLOVÍA 40 M3</t>
  </si>
  <si>
    <t>LUDICA CICLOVÍA, ESCUELA DE LA BICI, ADICIONALES 25 M3</t>
  </si>
  <si>
    <t>CONOS CICLOVÍA 25 M3</t>
  </si>
  <si>
    <t>CORREDOR</t>
  </si>
  <si>
    <t># OPERARIOS</t>
  </si>
  <si>
    <t># CAMIONES</t>
  </si>
  <si>
    <t>MODELO</t>
  </si>
  <si>
    <t>DISPONIBILIDAD</t>
  </si>
  <si>
    <t>TIPO DE SERVICIO</t>
  </si>
  <si>
    <t>$</t>
  </si>
  <si>
    <t>ZONA</t>
  </si>
  <si>
    <t>NORTE 1</t>
  </si>
  <si>
    <t>2014-2020</t>
  </si>
  <si>
    <t>1.CAMION TIPO40m³-15 HORAS-4 OP</t>
  </si>
  <si>
    <t>CENTRO</t>
  </si>
  <si>
    <t>ESCUELA</t>
  </si>
  <si>
    <t>17.CAMION TIPO25m³-15 HORAS-3 OP</t>
  </si>
  <si>
    <t xml:space="preserve">CENTRO 5 CAMION 1 UNICONOS </t>
  </si>
  <si>
    <t>16.CAMION TIPO25m³-15 HORAS-4 OP</t>
  </si>
  <si>
    <t>NORTE 2</t>
  </si>
  <si>
    <t>2.CAMION TIPO40m³-15 HORAS-3 OP</t>
  </si>
  <si>
    <t>CAMIONETA FURGONADA PENDONES CALLE 26</t>
  </si>
  <si>
    <t>31.CAMION TIPOFURGON-15 HORAS</t>
  </si>
  <si>
    <t xml:space="preserve">CENTRO 5 CAMION 2 UNICONOS </t>
  </si>
  <si>
    <t>NORTE 3</t>
  </si>
  <si>
    <t xml:space="preserve">CENTRO 4 CAMION 3 UNICONOS </t>
  </si>
  <si>
    <t>NORTE 4</t>
  </si>
  <si>
    <t>NORTE 5 ZONA 1</t>
  </si>
  <si>
    <t>NORTE 5 ZONA 2</t>
  </si>
  <si>
    <t>NORTE 1 MALETINES</t>
  </si>
  <si>
    <t>NORTE 1 DIVISORES</t>
  </si>
  <si>
    <t>OPERARIOS ADICIONALES</t>
  </si>
  <si>
    <t>RUTAS CICLOVÍA 25 M3</t>
  </si>
  <si>
    <t>APOYO CICLOVÍA</t>
  </si>
  <si>
    <t>NA</t>
  </si>
  <si>
    <t>41.OPERARIO-08 HORAS</t>
  </si>
  <si>
    <t>ATN CICLOVÍA, ESCUELA DE LA BICI, ADICIONALES 40 M3</t>
  </si>
  <si>
    <t>ADICIONALES</t>
  </si>
  <si>
    <t xml:space="preserve">CAMIONETA 4 X4 DOBLE CABINA CON PLATON </t>
  </si>
  <si>
    <t>NORTE</t>
  </si>
  <si>
    <t>34.4X4-15 HORAS</t>
  </si>
  <si>
    <t>valor total</t>
  </si>
  <si>
    <t>ZONA CENTRO</t>
  </si>
  <si>
    <t>SUR</t>
  </si>
  <si>
    <t>TOTAL</t>
  </si>
  <si>
    <t>CENTRO 1</t>
  </si>
  <si>
    <t>CENTRO 2</t>
  </si>
  <si>
    <t>CENTRO 4</t>
  </si>
  <si>
    <t>CENTRO 5</t>
  </si>
  <si>
    <t>CENTRO 3 ZONA 1</t>
  </si>
  <si>
    <t>CENTRO 3 ZONA 2</t>
  </si>
  <si>
    <t xml:space="preserve">CENTRO 6 ZONA 1 </t>
  </si>
  <si>
    <t>CENTRO 6 ZONA 2</t>
  </si>
  <si>
    <t>ZONA SUR</t>
  </si>
  <si>
    <t xml:space="preserve"> SUR 1 ZONA 1 </t>
  </si>
  <si>
    <t xml:space="preserve"> SUR 1 ZONA 2</t>
  </si>
  <si>
    <t>SUR 1 MALETINES</t>
  </si>
  <si>
    <t xml:space="preserve">SUR 3 ZONA 1 </t>
  </si>
  <si>
    <t xml:space="preserve">SUR 3 ZONA 2 </t>
  </si>
  <si>
    <t>GRAN TOTAL OPERA</t>
  </si>
  <si>
    <t>GRAN TOTAL CAMIONES</t>
  </si>
  <si>
    <t>VALOR $</t>
  </si>
  <si>
    <t>OTRAS NOVEDADES  DE JORNADA</t>
  </si>
  <si>
    <t xml:space="preserve">
</t>
  </si>
  <si>
    <t xml:space="preserve">     
Apoyan Guardaines ATN Norte 4, Norte 2 y Norte 3
Apoan Guardianes ATN Norte 1, Centro 1 y Centro 5
Apoyan Guardianes ATN Centro 4, Centro 3 y Sur 3
Apoyan Guardianes ATN Sur 1, Sur 2 y Centro 2</t>
  </si>
  <si>
    <t>TIPO DE DISPONIBILIDAD</t>
  </si>
  <si>
    <t>OPERARIOS</t>
  </si>
  <si>
    <t>40m³-15H-4OP</t>
  </si>
  <si>
    <t>1.</t>
  </si>
  <si>
    <t>C</t>
  </si>
  <si>
    <t>1 SENCILLO 15H 4OP</t>
  </si>
  <si>
    <t>.</t>
  </si>
  <si>
    <t>40m³-15H-3OP</t>
  </si>
  <si>
    <t>2.</t>
  </si>
  <si>
    <t>2 SENCILLO 15H 3OP</t>
  </si>
  <si>
    <t>40m³-15H-2OP</t>
  </si>
  <si>
    <t>3.</t>
  </si>
  <si>
    <t>3.CAMION TIPO40m³-15 HORAS-2 OP</t>
  </si>
  <si>
    <t>3 SENCILLO 15H 2OP</t>
  </si>
  <si>
    <t>40m³-15H-1OP</t>
  </si>
  <si>
    <t>4.</t>
  </si>
  <si>
    <t>4.CAMION TIPO40m³-15 HORAS-1 OP</t>
  </si>
  <si>
    <t>4 SENCILLO 15H 1OP</t>
  </si>
  <si>
    <t>40m³-15H-0OP</t>
  </si>
  <si>
    <t>5.</t>
  </si>
  <si>
    <t>5.CAMION TIPO40m³-15 HORAS-0 OP</t>
  </si>
  <si>
    <t>5 SENCILLO 15H 0OP</t>
  </si>
  <si>
    <t>40m³-9H-4OP</t>
  </si>
  <si>
    <t>6.</t>
  </si>
  <si>
    <t>6.CAMION TIPO40m³-09 HORAS-4 OP</t>
  </si>
  <si>
    <t>M</t>
  </si>
  <si>
    <t>6 SENCILLO M 4OP</t>
  </si>
  <si>
    <t>40m³-9H-3OP</t>
  </si>
  <si>
    <t>7.</t>
  </si>
  <si>
    <t>7.CAMION TIPO40m³-09 HORAS-3 OP</t>
  </si>
  <si>
    <t>7 SENCILLO M 3OP</t>
  </si>
  <si>
    <t>40m³-9H-2OP</t>
  </si>
  <si>
    <t>8.</t>
  </si>
  <si>
    <t>8.CAMION TIPO40m³-09 HORAS-2 OP</t>
  </si>
  <si>
    <t>8 SENCILLO M 2OP</t>
  </si>
  <si>
    <t>40m³-9H-1OP</t>
  </si>
  <si>
    <t>9.</t>
  </si>
  <si>
    <t>9.CAMION TIPO40m³-09 HORAS-1 OP</t>
  </si>
  <si>
    <t>9 SENCILLO M 1OP</t>
  </si>
  <si>
    <t>40m³-9H-0OP</t>
  </si>
  <si>
    <t>10.</t>
  </si>
  <si>
    <t>10.CAMION TIPO40m³-09 HORAS-0 OP</t>
  </si>
  <si>
    <t>10 SENCILLO M 0OP</t>
  </si>
  <si>
    <t>40m³-4H-4OP</t>
  </si>
  <si>
    <t>11.</t>
  </si>
  <si>
    <t>11.CAMION TIPO40m³-04 HORAS-4 OP</t>
  </si>
  <si>
    <t>R</t>
  </si>
  <si>
    <t>11 SENCILLO R 4OP</t>
  </si>
  <si>
    <t>40m³-4H-3OP</t>
  </si>
  <si>
    <t>12.</t>
  </si>
  <si>
    <t>12.CAMION TIPO40m³-04 HORAS-3 OP</t>
  </si>
  <si>
    <t>12 SENCILLO R 3OP</t>
  </si>
  <si>
    <t>40m³-4H-2OP</t>
  </si>
  <si>
    <t>13.</t>
  </si>
  <si>
    <t>13.CAMION TIPO40m³-04 HORAS-2 OP</t>
  </si>
  <si>
    <t>13 SENCILLO R 2OP</t>
  </si>
  <si>
    <t>40m³-4H-1OP</t>
  </si>
  <si>
    <t>14.</t>
  </si>
  <si>
    <t>14.CAMION TIPO40m³-04 HORAS-1 OP</t>
  </si>
  <si>
    <t>14 SENCILLO R 1OP</t>
  </si>
  <si>
    <t>40m³-4H-0OP</t>
  </si>
  <si>
    <t>15.</t>
  </si>
  <si>
    <t>15.CAMION TIPO40m³-04 HORAS-0 OP</t>
  </si>
  <si>
    <t>15 SENCILLO R 0OP</t>
  </si>
  <si>
    <t>25m³-15H-4OP</t>
  </si>
  <si>
    <t>16.</t>
  </si>
  <si>
    <t>16 TURBO 15H 4OP</t>
  </si>
  <si>
    <t>25m³-15H-3OP</t>
  </si>
  <si>
    <t>17.</t>
  </si>
  <si>
    <t>17 TURBO 15H 3OP</t>
  </si>
  <si>
    <t>25m³-15H-2OP</t>
  </si>
  <si>
    <t>18.</t>
  </si>
  <si>
    <t>18.CAMION TIPO25m³-15 HORAS-2 OP</t>
  </si>
  <si>
    <t>18 TURBO 15H 2OP</t>
  </si>
  <si>
    <t>25m³-15H-1OP</t>
  </si>
  <si>
    <t>19.</t>
  </si>
  <si>
    <t>19.CAMION TIPO25m³-15 HORAS-1 OP</t>
  </si>
  <si>
    <t>19 TURBO 15H 1OP</t>
  </si>
  <si>
    <t>25m³-15H-0OP</t>
  </si>
  <si>
    <t>20.</t>
  </si>
  <si>
    <t>20.CAMION TIPO25m³-15 HORAS-0 OP</t>
  </si>
  <si>
    <t>20 TURBO 15H 0OP</t>
  </si>
  <si>
    <t>25m³-9H-4OP</t>
  </si>
  <si>
    <t>21.</t>
  </si>
  <si>
    <t>21.CAMION TIPO25m³-09 HORAS-4 OP</t>
  </si>
  <si>
    <t>21 TURBO M 4OP</t>
  </si>
  <si>
    <t>25m³-9H-3OP</t>
  </si>
  <si>
    <t>22.</t>
  </si>
  <si>
    <t>22.CAMION TIPO25m³-09 HORAS-3 OP</t>
  </si>
  <si>
    <t>22 TURBO M 3OP</t>
  </si>
  <si>
    <t>25m³-9H-2OP</t>
  </si>
  <si>
    <t>23.</t>
  </si>
  <si>
    <t>23.CAMION TIPO25m³-09 HORAS-2 OP</t>
  </si>
  <si>
    <t>23 TURBO M 2OP</t>
  </si>
  <si>
    <t>25m³-9H-1OP</t>
  </si>
  <si>
    <t>24.</t>
  </si>
  <si>
    <t>24.CAMION TIPO25m³-09 HORAS-1 OP</t>
  </si>
  <si>
    <t>24 TURBO M 1OP</t>
  </si>
  <si>
    <t>25m³-9H-0OP</t>
  </si>
  <si>
    <t>25.</t>
  </si>
  <si>
    <t>25.CAMION TIPO25m³-09 HORAS-0 OP</t>
  </si>
  <si>
    <t>25 TURBO M 0OP</t>
  </si>
  <si>
    <t>25m³-4H-4OP</t>
  </si>
  <si>
    <t>26.</t>
  </si>
  <si>
    <t>26.CAMION TIPO25m³-04 HORAS-4 OP</t>
  </si>
  <si>
    <t>26 TURBO R 4OP</t>
  </si>
  <si>
    <t>25m³-4H-3OP</t>
  </si>
  <si>
    <t>27.</t>
  </si>
  <si>
    <t>27.CAMION TIPO25m³-04 HORAS-3 OP</t>
  </si>
  <si>
    <t>27 TURBO R 3OP</t>
  </si>
  <si>
    <t>25m³-4H-2OP</t>
  </si>
  <si>
    <t>28.</t>
  </si>
  <si>
    <t>28.CAMION TIPO25m³-04 HORAS-2 OP</t>
  </si>
  <si>
    <t>28 TURBO R 2OP</t>
  </si>
  <si>
    <t>25m³-4H-1OP</t>
  </si>
  <si>
    <t>29.</t>
  </si>
  <si>
    <t>29.CAMION TIPO25m³-04 HORAS-1 OP</t>
  </si>
  <si>
    <t>29 TURBO R 1OP</t>
  </si>
  <si>
    <t>25m³-4H-0OP</t>
  </si>
  <si>
    <t>30.</t>
  </si>
  <si>
    <t>30.CAMION TIPO25m³-04 HORAS-0 OP</t>
  </si>
  <si>
    <t>30 TURBO R 0OP</t>
  </si>
  <si>
    <t>FURGON-15H</t>
  </si>
  <si>
    <t>31.</t>
  </si>
  <si>
    <t>31 FURGONADA C</t>
  </si>
  <si>
    <t>FURGON-9H</t>
  </si>
  <si>
    <t>32.</t>
  </si>
  <si>
    <t>32.CAMION TIPOFURGON-09 HORAS</t>
  </si>
  <si>
    <t>32 FURGONADA M</t>
  </si>
  <si>
    <t>FURGON-4H</t>
  </si>
  <si>
    <t>33.</t>
  </si>
  <si>
    <t>33.CAMION TIPOFURGON-04 HORAS</t>
  </si>
  <si>
    <t>33 FURGONADA R</t>
  </si>
  <si>
    <t>4X4-15H</t>
  </si>
  <si>
    <t>34.</t>
  </si>
  <si>
    <t>34 4X4 C</t>
  </si>
  <si>
    <t>4X4-9H</t>
  </si>
  <si>
    <t>35.</t>
  </si>
  <si>
    <t>35.4X4-09 HORAS</t>
  </si>
  <si>
    <t>35 4X4 M</t>
  </si>
  <si>
    <t>4X4-4H</t>
  </si>
  <si>
    <t>36.</t>
  </si>
  <si>
    <t>36.4X4-04 HORAS</t>
  </si>
  <si>
    <t>36 4X4 R</t>
  </si>
  <si>
    <t>MONTACARGA-15H</t>
  </si>
  <si>
    <t>37.</t>
  </si>
  <si>
    <t>37.MONTACARGA-15 HORAS</t>
  </si>
  <si>
    <t>37 MONTACARGA C</t>
  </si>
  <si>
    <t>MONTACARGA-1H</t>
  </si>
  <si>
    <t>38.</t>
  </si>
  <si>
    <t>38.MONTACARGA-01 HORAS</t>
  </si>
  <si>
    <t>H</t>
  </si>
  <si>
    <t>38 MONTACARGA H</t>
  </si>
  <si>
    <t>GRUA-15H-</t>
  </si>
  <si>
    <t>39.</t>
  </si>
  <si>
    <t>39.GRUA-15 HORAS</t>
  </si>
  <si>
    <t>39 GRUA C</t>
  </si>
  <si>
    <t>GRUA-1H</t>
  </si>
  <si>
    <t>40.</t>
  </si>
  <si>
    <t>40.GRUA-01 HORAS</t>
  </si>
  <si>
    <t>40 GRUA H</t>
  </si>
  <si>
    <t>OPERARIO-8-H</t>
  </si>
  <si>
    <t>41.</t>
  </si>
  <si>
    <t>41 OPERARIO 8 H</t>
  </si>
  <si>
    <t>OPERARIO-6-H</t>
  </si>
  <si>
    <t>42.</t>
  </si>
  <si>
    <t>42.OPERARIO-06 HORAS</t>
  </si>
  <si>
    <t>42 OPERARIO 6 H</t>
  </si>
  <si>
    <t>BOGOTA-REGION-40m³-</t>
  </si>
  <si>
    <t>43.</t>
  </si>
  <si>
    <t>43.BOGOTA-REGION-40m³-9 HORAS</t>
  </si>
  <si>
    <t>BOGOTA-REGION-25m³-</t>
  </si>
  <si>
    <t>44.</t>
  </si>
  <si>
    <t>44.BOGOTA-REGION-25m³-9 HORAS</t>
  </si>
  <si>
    <t>BOGOTA-REGION-FURGON-</t>
  </si>
  <si>
    <t>45.</t>
  </si>
  <si>
    <t>45.BOGOTA-REGION-FURGON-9 HORAS</t>
  </si>
  <si>
    <t>BOGOTA-REGION-4X4</t>
  </si>
  <si>
    <t>46.</t>
  </si>
  <si>
    <t>46.BOGOTA-REGION-4X4-9 HORAS</t>
  </si>
  <si>
    <t>47. 6 OPERARIO-06 HORAS</t>
  </si>
  <si>
    <t>48. 8 OPERARIO-06 HORAS</t>
  </si>
  <si>
    <t>49. 10 OPERARIO-06 HORAS</t>
  </si>
  <si>
    <t>50. 6 OPERARIO-08 HORAS</t>
  </si>
  <si>
    <t>51. 8 OPERARIO-08 HORAS</t>
  </si>
  <si>
    <t>52. 10 OPERARIO-08 HORAS</t>
  </si>
  <si>
    <t>ATN</t>
  </si>
  <si>
    <t>SUR 2</t>
  </si>
  <si>
    <t xml:space="preserve">SUR 2 CANECAS 1 </t>
  </si>
  <si>
    <t>SUR 2 CANECAS 2</t>
  </si>
  <si>
    <t>SUR 2 CANECAS 3</t>
  </si>
  <si>
    <t>SUR 2 CANECAS 4</t>
  </si>
  <si>
    <t xml:space="preserve">CICLOVIA INTERNACIONAL </t>
  </si>
  <si>
    <t>CICLOPASEO POLONIA</t>
  </si>
  <si>
    <r>
      <t xml:space="preserve">MOVIMIENTOS:
</t>
    </r>
    <r>
      <rPr>
        <b/>
        <sz val="14"/>
        <color theme="1"/>
        <rFont val="Arial"/>
        <family val="2"/>
      </rPr>
      <t xml:space="preserve">* SE REQUIERE QUE LOS TRES OPERARI@S PARA APOYO DE CICLOVÍA LLEGUEN A  PLAZA DE LOS ARTESANOS Carrera 60 #63A-52 A LAS 10:00 AM Y ESTEN DISPONIBLES 05:00 PM. ENCARGADO LUIS MARTINEZ 3124158470.
</t>
    </r>
    <r>
      <rPr>
        <b/>
        <sz val="14"/>
        <color rgb="FFFF0000"/>
        <rFont val="Arial"/>
        <family val="2"/>
      </rPr>
      <t xml:space="preserve">
</t>
    </r>
    <r>
      <rPr>
        <b/>
        <sz val="14"/>
        <color theme="1"/>
        <rFont val="Arial"/>
        <family val="2"/>
      </rPr>
      <t>* LA CAMIONETA FURGONADA DE PENDONES DE CALLE 26 DEBE LLEGAR A LAS  4:00 AM A LA PLAZA DE ARTESANOS, JUNTO CON LOS DOS OPERARIOS ADICIONALES.</t>
    </r>
    <r>
      <rPr>
        <b/>
        <sz val="14"/>
        <color rgb="FFFF0000"/>
        <rFont val="Arial"/>
        <family val="2"/>
      </rPr>
      <t xml:space="preserve">
</t>
    </r>
    <r>
      <rPr>
        <b/>
        <sz val="14"/>
        <color theme="1"/>
        <rFont val="Arial"/>
        <family val="2"/>
      </rPr>
      <t xml:space="preserve">*SE RECUERDA QUE PARA LOS CORREDORES DE LA CALLE 26 SU HORA DE CIERRE SON LAS 6:30 AM COMO HORA MAXIMA, POR LO CUAL ESTOS CORREDORES DE ACUERDO LA PLAN DE MANEJO DE TRANSITO -  PMT SE DEBEN HABLITAR A LA HORA NARRADA, POR FAVOR HACER LOS AJUSTES CORRESPONDIENTES PARA QUE ESTOS CAMIONES DISTRIBUYAN EL MATERIAL ANTES, Y FINALICEN EN UN HORARIO ANTES DE LAS 6:30 HRS PARA EL CAMIÓN DE RUTA, GARATIZANDO EL CIERRE PARA QUE LOS VEHICULOS DE CONOS PUEDAN DISTRIBUIR DESDE LAS 6:30 AM Y COMO MAXIMO HASTA LAS 7:00 AM.
</t>
    </r>
    <r>
      <rPr>
        <b/>
        <sz val="14"/>
        <color rgb="FFFF0000"/>
        <rFont val="Arial"/>
        <family val="2"/>
      </rPr>
      <t xml:space="preserve">
</t>
    </r>
    <r>
      <rPr>
        <b/>
        <sz val="14"/>
        <color theme="1"/>
        <rFont val="Arial"/>
        <family val="2"/>
      </rPr>
      <t xml:space="preserve">*PARA ALGUNOS VEHICULOS SALE MATERIAL ADICIONAL POR FAVOR TENER MUY ENCUENTA EL CUBICAJE DE CADA UNO DE LOS VEHICULOS. 
</t>
    </r>
    <r>
      <rPr>
        <b/>
        <sz val="14"/>
        <color rgb="FFFF0000"/>
        <rFont val="Arial"/>
        <family val="2"/>
      </rPr>
      <t xml:space="preserve">
</t>
    </r>
    <r>
      <rPr>
        <b/>
        <sz val="14"/>
        <color theme="1"/>
        <rFont val="Arial"/>
        <family val="2"/>
      </rPr>
      <t xml:space="preserve">*SE CAMBIO EL MATERIAL PARA LOS CORREDORES DE N1, N2, N3, C1, C4 Y C5 SE SOLCITA SOCIALIZAR CON LOS OPERARIOS DE ESTAS RUTAS EL BUEN TRATO DEL MATERIAL, ENTENDIENDO QUE ES NUEVO. 
</t>
    </r>
    <r>
      <rPr>
        <b/>
        <sz val="14"/>
        <color rgb="FFFF0000"/>
        <rFont val="Arial"/>
        <family val="2"/>
      </rPr>
      <t xml:space="preserve">
</t>
    </r>
    <r>
      <rPr>
        <b/>
        <sz val="14"/>
        <color theme="1"/>
        <rFont val="Arial"/>
        <family val="2"/>
      </rPr>
      <t xml:space="preserve">*SE SOLICTA NUEVAMENTE SOCIALIZAR CON LOS OPERARIOS QUE DEBEN DEJAR LOS ELEMENTOS CARGADOS EN LAS CABINAS COMO, TULAS, PALETAS  Y CINTAS EN LA PAZA 4 EN LOS STANDS. LOS CUALES FUERON SOCIALIZADOS EL 19 DE MARZO 2023 CON LOS COORDINADORES DE LA EMPRESA. 
</t>
    </r>
    <r>
      <rPr>
        <b/>
        <sz val="14"/>
        <color rgb="FFFF0000"/>
        <rFont val="Arial"/>
        <family val="2"/>
      </rPr>
      <t xml:space="preserve">
CAMIONETA 1:</t>
    </r>
    <r>
      <rPr>
        <b/>
        <sz val="14"/>
        <color theme="1"/>
        <rFont val="Arial"/>
        <family val="2"/>
      </rPr>
      <t xml:space="preserve"> CAMIONETA DEBE LLEGAR A LAS 4:00 AM A PLAZA DE LOS ARTESANOS QUEDA DISPONIBLE. ENCARGADO KEVIN SILVA  3214765973
</t>
    </r>
    <r>
      <rPr>
        <b/>
        <sz val="14"/>
        <color rgb="FFFF0000"/>
        <rFont val="Arial"/>
        <family val="2"/>
      </rPr>
      <t xml:space="preserve">
CAMIONETA 2: </t>
    </r>
    <r>
      <rPr>
        <b/>
        <sz val="14"/>
        <color theme="1"/>
        <rFont val="Arial"/>
        <family val="2"/>
      </rPr>
      <t>CAMIONETA DEBE LLEGAR A LAS 10:00 AM A  PLAZA DE LOS ARTESANOS QUEDA DISPONIBLE. ENCARGADO DANIELA RATIVA 3505967621</t>
    </r>
    <r>
      <rPr>
        <b/>
        <sz val="14"/>
        <color rgb="FFFF0000"/>
        <rFont val="Arial"/>
        <family val="2"/>
      </rPr>
      <t xml:space="preserve">
CAMIONETA 3: </t>
    </r>
    <r>
      <rPr>
        <b/>
        <sz val="14"/>
        <color theme="1"/>
        <rFont val="Arial"/>
        <family val="2"/>
      </rPr>
      <t>CAMIONETA DEBE LLEGAR A LAS 4:00 AM A PLAZA DE LOS ARTESANOS QUEDA DISPONIBLE. ENCARGADO FELIPE CAMELO 3134952714</t>
    </r>
    <r>
      <rPr>
        <b/>
        <sz val="14"/>
        <color rgb="FFFF0000"/>
        <rFont val="Arial"/>
        <family val="2"/>
      </rPr>
      <t xml:space="preserve">
CAMIONETA 4:</t>
    </r>
    <r>
      <rPr>
        <b/>
        <sz val="14"/>
        <color theme="1"/>
        <rFont val="Arial"/>
        <family val="2"/>
      </rPr>
      <t xml:space="preserve"> CAMIONETA DEBE LLEGAR A LAS 4:00 AM A PLAZA DE LOS ARTESANOS QUEDA DISPONIBLE. ENVARGADO ANDRES LIZARAZO 3193068226</t>
    </r>
    <r>
      <rPr>
        <b/>
        <sz val="14"/>
        <color rgb="FFFF0000"/>
        <rFont val="Arial"/>
        <family val="2"/>
      </rPr>
      <t xml:space="preserve">
FURGONADA: </t>
    </r>
    <r>
      <rPr>
        <b/>
        <sz val="14"/>
        <color theme="1"/>
        <rFont val="Arial"/>
        <family val="2"/>
      </rPr>
      <t>CAMIONETA DEBE LLEGAR A LAS 5:30 AM A PLAZA DE LOS ARTESANOS, QUEDA DISPONIBLE. ENCARGADO DANIELA RATIVA 3505967621</t>
    </r>
    <r>
      <rPr>
        <b/>
        <sz val="14"/>
        <color rgb="FFFF0000"/>
        <rFont val="Arial"/>
        <family val="2"/>
      </rPr>
      <t xml:space="preserve">
ESCUELA DE LA BICI:</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VEHICULO POR 15 HORAS
</t>
    </r>
    <r>
      <rPr>
        <b/>
        <sz val="14"/>
        <color rgb="FFFF0000"/>
        <rFont val="Arial"/>
        <family val="2"/>
      </rPr>
      <t xml:space="preserve">
ATN:</t>
    </r>
    <r>
      <rPr>
        <b/>
        <sz val="14"/>
        <color theme="1"/>
        <rFont val="Arial"/>
        <family val="2"/>
      </rPr>
      <t xml:space="preserve"> EL CAMIÓN DE ATN DEBE LLEGAR A PLAZA DE LOS ARTESANOS A LAS 7 AM, POSTERIORMENTE DRIGIRSE A LOS PUNTOS; CONTACTAR A JULIETTE ARROYO 3012802342, SERVICIO POR 15 HORAS.
</t>
    </r>
    <r>
      <rPr>
        <b/>
        <sz val="14"/>
        <color rgb="FFFF0000"/>
        <rFont val="Arial"/>
        <family val="2"/>
      </rPr>
      <t xml:space="preserve">
</t>
    </r>
    <r>
      <rPr>
        <b/>
        <sz val="14"/>
        <color theme="1"/>
        <rFont val="Arial"/>
        <family val="2"/>
      </rPr>
      <t xml:space="preserve">C1 - AV. BOYACPA X CALLE 64 C
S1 - CARRERA 78 X CALLE 41 A SUR
</t>
    </r>
    <r>
      <rPr>
        <b/>
        <sz val="14"/>
        <color rgb="FFFF0000"/>
        <rFont val="Arial"/>
        <family val="2"/>
      </rPr>
      <t xml:space="preserve">
</t>
    </r>
    <r>
      <rPr>
        <b/>
        <sz val="14"/>
        <color theme="1"/>
        <rFont val="Arial"/>
        <family val="2"/>
      </rPr>
      <t xml:space="preserve">EL CICLOPARQUEADERO DE LA CALLE 80 SE DEBE IR EN EL CAMIÓN DE DIVISORES Y DEBE DESCARGARSE EN LA AV BOYACA CON CALLE 80, POR FAVOR CORDINADOR DE LA ZONA NORTE ESTAR MUY PENDIENTE. 
</t>
    </r>
    <r>
      <rPr>
        <b/>
        <sz val="14"/>
        <color rgb="FFFF0000"/>
        <rFont val="Arial"/>
        <family val="2"/>
      </rPr>
      <t>CICLOPASEO POLONIA:</t>
    </r>
    <r>
      <rPr>
        <b/>
        <sz val="14"/>
        <color theme="1"/>
        <rFont val="Arial"/>
        <family val="2"/>
      </rPr>
      <t xml:space="preserve"> DEBE LLEGAR A PLAZA DE ARTESANOS A LAS 6:00 AM, Y REALIZAR EL CARGUE DE 32 BICICLETAS CON SUS RESPECTIVOS CASCOS, PARA POSTERIORMENTE DIRIGIRSE A PARQUE EL VIRREY DEBE ESTAR ANTES DE LAS 8:00 AM. SERCIVIO POR 9 HORAS.
</t>
    </r>
    <r>
      <rPr>
        <b/>
        <sz val="14"/>
        <color rgb="FFFF0000"/>
        <rFont val="Arial"/>
        <family val="2"/>
      </rPr>
      <t xml:space="preserve">
CICLOVIA INTERNACIONAL: </t>
    </r>
    <r>
      <rPr>
        <b/>
        <sz val="14"/>
        <color theme="1"/>
        <rFont val="Arial"/>
        <family val="2"/>
      </rPr>
      <t xml:space="preserve">DEBE LLEGAR A LAS 7:00 AM A PLAZA DE ARTESANOS Y DESPLZARSE AL AEROPUERTO INTERNACIONAL EL DORADO POSTERIORMENTE REALIZAR LA RECOLECCIÓN SOBRE LAS 14:00 HRS. SERVICIO POR 9 HORAS.
</t>
    </r>
    <r>
      <rPr>
        <b/>
        <sz val="14"/>
        <color rgb="FFFF0000"/>
        <rFont val="Arial"/>
        <family val="2"/>
      </rPr>
      <t xml:space="preserve">
DISPONIBLES:</t>
    </r>
    <r>
      <rPr>
        <b/>
        <sz val="14"/>
        <color theme="1"/>
        <rFont val="Arial"/>
        <family val="2"/>
      </rPr>
      <t xml:space="preserve"> SE DEBE DEJAR DOS CAMIONES DE 25m2 CON 3 OPERARIOS LOS CUALES DEBEN REGRESAR A LA PLAZA DE LOS ARTESANOS A LAS 8:30 AM, ENCARGADO EDDY CAMACHO 3163678143. 
</t>
    </r>
    <r>
      <rPr>
        <b/>
        <sz val="14"/>
        <color rgb="FFFF0000"/>
        <rFont val="Arial"/>
        <family val="2"/>
      </rPr>
      <t xml:space="preserve">
LUDICA Y PEDAGOGIA:</t>
    </r>
    <r>
      <rPr>
        <b/>
        <sz val="14"/>
        <color theme="1"/>
        <rFont val="Arial"/>
        <family val="2"/>
      </rPr>
      <t xml:space="preserve"> LA CAMIONETA FURGONADA DEBE LLEGAR COMO DE COSTUMBRE 5:30 AM, CARGAR LOS ELEMENTOS DE LA ACTIVIDAD Y DIRIGIRSE A LA AV BOYACA CON CARERA 24.
</t>
    </r>
    <r>
      <rPr>
        <b/>
        <sz val="14"/>
        <color rgb="FFFF0000"/>
        <rFont val="Arial"/>
        <family val="2"/>
      </rPr>
      <t xml:space="preserve">
</t>
    </r>
    <r>
      <rPr>
        <b/>
        <sz val="14"/>
        <color theme="1"/>
        <rFont val="Arial"/>
        <family val="2"/>
      </rPr>
      <t>DE ACUERDO A LAS POSIBLES MARCHAS QUE SE PUEDAN PRESENTAR CON LAS FUERZAS MILITARES, ES POSIBLE QUE DESAHBILITE ALGUNOS CORREDORES, ESTAR MUY PRESTOS PARA LA DESHABILITACIÓN.</t>
    </r>
  </si>
  <si>
    <t>LOGISTICA Y REDES DE DISTRIBUCION S.A.S- IDRD 2022 ZONA NORTE-CENTRO-SUR</t>
  </si>
  <si>
    <t>FECHA</t>
  </si>
  <si>
    <t>CAMIONES</t>
  </si>
  <si>
    <t>OPERARIOS 
ADICIONALES</t>
  </si>
  <si>
    <t>JORNADA</t>
  </si>
  <si>
    <t>DESCRIPCION DEL DESCUENTO</t>
  </si>
  <si>
    <t>VALOR TOTAL CAMIONES</t>
  </si>
  <si>
    <t>VALOR OPERARIOS ADICIONALES</t>
  </si>
  <si>
    <t>VALOR DESCUENTOS</t>
  </si>
  <si>
    <t>RECREOVÍA</t>
  </si>
  <si>
    <t>ZONA NORTE- CENTRO - SUR</t>
  </si>
  <si>
    <t xml:space="preserve"> </t>
  </si>
  <si>
    <t>DOMINGO - CICLOVIA RUTA</t>
  </si>
  <si>
    <t>DOMINGO - CAMIONES DE CONOS</t>
  </si>
  <si>
    <t>DOMINGO- ESCUELA DE LA BICICLETA</t>
  </si>
  <si>
    <t>CICLOVÍA</t>
  </si>
  <si>
    <t>CICLOVÍA + RECREOVÍA</t>
  </si>
  <si>
    <t>,</t>
  </si>
  <si>
    <t xml:space="preserve">TOTAL </t>
  </si>
  <si>
    <t>VALOR</t>
  </si>
  <si>
    <t>VALOR 
OPERARIOS ADICIONALES</t>
  </si>
  <si>
    <t>TOTAL ZONA NORTE</t>
  </si>
  <si>
    <t>TOTAL ZONA CENTRO</t>
  </si>
  <si>
    <t>TOTAL ZONA SUR</t>
  </si>
  <si>
    <t>VALOR TOTAL</t>
  </si>
  <si>
    <t xml:space="preserve"> TOTAL CICLOVIA</t>
  </si>
  <si>
    <t>TOTAL RECREOVÍA</t>
  </si>
  <si>
    <t>SERVICIOS ADICIONALES</t>
  </si>
  <si>
    <t>RECREOVÍA TOTAL</t>
  </si>
  <si>
    <r>
      <rPr>
        <b/>
        <sz val="15"/>
        <rFont val="Arial"/>
        <family val="2"/>
      </rPr>
      <t xml:space="preserve">FECHA 
</t>
    </r>
    <r>
      <rPr>
        <sz val="11"/>
        <color theme="1"/>
        <rFont val="Calibri"/>
        <family val="2"/>
        <scheme val="minor"/>
      </rPr>
      <t>(Ej. 19-Jul-09)</t>
    </r>
  </si>
  <si>
    <r>
      <rPr>
        <b/>
        <sz val="15"/>
        <rFont val="Arial"/>
        <family val="2"/>
      </rPr>
      <t xml:space="preserve">HORA INICIO
</t>
    </r>
    <r>
      <rPr>
        <sz val="11"/>
        <color theme="1"/>
        <rFont val="Calibri"/>
        <family val="2"/>
        <scheme val="minor"/>
      </rPr>
      <t>(Hora Militar)</t>
    </r>
  </si>
  <si>
    <r>
      <rPr>
        <b/>
        <sz val="15"/>
        <rFont val="Arial"/>
        <family val="2"/>
      </rPr>
      <t xml:space="preserve">HORA FINAL
</t>
    </r>
    <r>
      <rPr>
        <sz val="11"/>
        <color theme="1"/>
        <rFont val="Calibri"/>
        <family val="2"/>
        <scheme val="minor"/>
      </rPr>
      <t>(Hora Militar)</t>
    </r>
  </si>
  <si>
    <r>
      <rPr>
        <b/>
        <sz val="15"/>
        <rFont val="Arial"/>
        <family val="2"/>
      </rPr>
      <t xml:space="preserve">EVENTO
</t>
    </r>
    <r>
      <rPr>
        <sz val="11"/>
        <color theme="1"/>
        <rFont val="Calibri"/>
        <family val="2"/>
        <scheme val="minor"/>
      </rPr>
      <t>(Como aparece en el plan de acción)</t>
    </r>
  </si>
  <si>
    <t>LUGAR Y DIRECCION</t>
  </si>
  <si>
    <r>
      <t xml:space="preserve">PROYECTO DE INVERSIÓN
</t>
    </r>
    <r>
      <rPr>
        <sz val="11"/>
        <color theme="1"/>
        <rFont val="Calibri"/>
        <family val="2"/>
        <scheme val="minor"/>
      </rPr>
      <t>(Como aparece en el plan de acción)</t>
    </r>
  </si>
  <si>
    <t>PROGRAMA</t>
  </si>
  <si>
    <t>Disponibilidad</t>
  </si>
  <si>
    <t>Tipo de servicio</t>
  </si>
  <si>
    <t>valor</t>
  </si>
  <si>
    <t>7852</t>
  </si>
  <si>
    <t xml:space="preserve">COMUNIDADES ACTIVIDAS Y SALUDABLES </t>
  </si>
  <si>
    <t>7850</t>
  </si>
  <si>
    <t>IMPLEMENTACIÓN DEPORTIVA</t>
  </si>
  <si>
    <t>7851</t>
  </si>
  <si>
    <t>RECREACIÓN Y DEPORTE PARA LA FORMACIÓN CIUDADANA</t>
  </si>
  <si>
    <t>SAF - 5119</t>
  </si>
  <si>
    <t>SAF- 5119</t>
  </si>
  <si>
    <t>X</t>
  </si>
  <si>
    <t xml:space="preserve"> TOTAL SERVICIOS ADICIONALES</t>
  </si>
  <si>
    <t xml:space="preserve">GRAN TOTAL: </t>
  </si>
  <si>
    <t>Firma</t>
  </si>
  <si>
    <t xml:space="preserve">Elaborado por: </t>
  </si>
  <si>
    <t xml:space="preserve">Mauricio Orlando Novoa Montenegro - Luis Fernando Martínez Nieto </t>
  </si>
  <si>
    <t xml:space="preserve"> SEGUIMIENTO CONTRATO 1916 / 2022</t>
  </si>
  <si>
    <t>RP</t>
  </si>
  <si>
    <t>RUBRO</t>
  </si>
  <si>
    <t xml:space="preserve">VALOR RP </t>
  </si>
  <si>
    <t xml:space="preserve">SERVICIO AGOSOTO </t>
  </si>
  <si>
    <t>SALDO</t>
  </si>
  <si>
    <t xml:space="preserve">ADICIONAL MAURO </t>
  </si>
  <si>
    <t>TOTAL CONTRATO</t>
  </si>
  <si>
    <t xml:space="preserve">Saldo actual </t>
  </si>
  <si>
    <t>Proyección 7852</t>
  </si>
  <si>
    <t>Cantidad de meses para cubrir</t>
  </si>
  <si>
    <t xml:space="preserve">Fecha para nuevo contrato </t>
  </si>
  <si>
    <t xml:space="preserve">SERVICIO SEPTIEMBRE </t>
  </si>
  <si>
    <t>SERVICIO OCTUBRE</t>
  </si>
  <si>
    <t>SERVICIO NOVIMEBRE</t>
  </si>
  <si>
    <t>SERVICIO DICIEMBRE</t>
  </si>
  <si>
    <t>SERVICIO ENERO - FEB 07</t>
  </si>
  <si>
    <t>SERVICIO - FEB 08 - FEB 28</t>
  </si>
  <si>
    <t>SERVICIO - MARZO</t>
  </si>
  <si>
    <t>SERVICIO - ABRIL</t>
  </si>
  <si>
    <t>SERVICIO - MAYO</t>
  </si>
  <si>
    <t>SERVICIO - JUNIO</t>
  </si>
  <si>
    <t xml:space="preserve">CENTRO </t>
  </si>
  <si>
    <t xml:space="preserve">TRASLADO DE ELEMENTOS </t>
  </si>
  <si>
    <r>
      <rPr>
        <b/>
        <sz val="14"/>
        <color theme="1"/>
        <rFont val="Arial"/>
        <family val="2"/>
      </rPr>
      <t xml:space="preserve"> 
</t>
    </r>
    <r>
      <rPr>
        <b/>
        <sz val="14"/>
        <color rgb="FFFF0000"/>
        <rFont val="Arial"/>
        <family val="2"/>
      </rPr>
      <t xml:space="preserve">MOVIMIENTOS: 
</t>
    </r>
    <r>
      <rPr>
        <b/>
        <sz val="14"/>
        <color theme="1"/>
        <rFont val="Arial"/>
        <family val="2"/>
      </rPr>
      <t xml:space="preserve">
* SE REQUIERE QUE LOS DOS OPERARI@S PARA APOYO DE CICLOVÍA LLEGUEN A  PLAZA DE LOS ARTESANOS Carrera 60 #63A-52 A LAS 10:00 AM Y ESTEN DISPONIBLES 05 PM. ENCARGADO EDDY CAMACHO 3163678143
* LA CAMIONETA FURGONADA DE PENDONES DE CALLE 26 DEBE LLEGAR A LAS  4:00 AM A LA PLAZA DE ARTESANOS, JUNTO CON LOS DOS OPERARIOS ADICIONALES.
</t>
    </r>
    <r>
      <rPr>
        <b/>
        <sz val="14"/>
        <color rgb="FFFF0000"/>
        <rFont val="Arial"/>
        <family val="2"/>
      </rPr>
      <t xml:space="preserve">
CAMIONETA 1:</t>
    </r>
    <r>
      <rPr>
        <b/>
        <sz val="14"/>
        <color theme="1"/>
        <rFont val="Arial"/>
        <family val="2"/>
      </rPr>
      <t xml:space="preserve"> CAMIONETA DEBE LLEGAR A LAS 4:00 AM A CALLE 3  QUEDA DISPONIBLE. ENCARGADO KEVIN SILVA 3214765973
</t>
    </r>
    <r>
      <rPr>
        <b/>
        <sz val="14"/>
        <color rgb="FFFF0000"/>
        <rFont val="Arial"/>
        <family val="2"/>
      </rPr>
      <t xml:space="preserve">
CAMIONETA 2: </t>
    </r>
    <r>
      <rPr>
        <b/>
        <sz val="14"/>
        <color theme="1"/>
        <rFont val="Arial"/>
        <family val="2"/>
      </rPr>
      <t>CAMIONETA DEBE LLEGAR A LAS 4:00 AM A CALLE 3  QUEDA DISPONIBLE. ENCARGADO KEVIN SILVA 3214765973</t>
    </r>
    <r>
      <rPr>
        <b/>
        <sz val="14"/>
        <color rgb="FFFF0000"/>
        <rFont val="Arial"/>
        <family val="2"/>
      </rPr>
      <t xml:space="preserve">
CAMIONETA 3: </t>
    </r>
    <r>
      <rPr>
        <b/>
        <sz val="14"/>
        <color theme="1"/>
        <rFont val="Arial"/>
        <family val="2"/>
      </rPr>
      <t xml:space="preserve">CAMIONETA DEBE LLEGAR A LAS 4:00 AM A CALLE 3  QUEDA DISPONIBLE. ENCARGADO KEVIN SILVA 3214765973
</t>
    </r>
    <r>
      <rPr>
        <b/>
        <sz val="14"/>
        <color rgb="FFFF0000"/>
        <rFont val="Arial"/>
        <family val="2"/>
      </rPr>
      <t xml:space="preserve">
FURGONADA: </t>
    </r>
    <r>
      <rPr>
        <b/>
        <sz val="14"/>
        <color theme="1"/>
        <rFont val="Arial"/>
        <family val="2"/>
      </rPr>
      <t>CAMIONETA DEBE LLEGAR A LAS 5:30 AM A CALLE 3 QUEDA DISPONIBLE. ENCARGADO KEVIN SILVA 3214765973</t>
    </r>
    <r>
      <rPr>
        <b/>
        <sz val="14"/>
        <color rgb="FFFF0000"/>
        <rFont val="Arial"/>
        <family val="2"/>
      </rPr>
      <t xml:space="preserve">
ESCUELA DE LA BICI:  </t>
    </r>
    <r>
      <rPr>
        <b/>
        <sz val="14"/>
        <color theme="1"/>
        <rFont val="Arial"/>
        <family val="2"/>
      </rPr>
      <t xml:space="preserve">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
DISPONIBLES: </t>
    </r>
    <r>
      <rPr>
        <b/>
        <sz val="14"/>
        <color theme="1"/>
        <rFont val="Arial"/>
        <family val="2"/>
      </rPr>
      <t>SE DEBE DEJAR DOS CAMIONES DE 25m2 CON 3 OPERARIOS LOS CUALES DEBEN REGRESAR A LA CALLE 3 A LAS 8:30 AM, ENCARGADO EDDY CAMACHO 3163678143. 3012802342</t>
    </r>
    <r>
      <rPr>
        <b/>
        <sz val="14"/>
        <color rgb="FFFF0000"/>
        <rFont val="Arial"/>
        <family val="2"/>
      </rPr>
      <t xml:space="preserve">
</t>
    </r>
    <r>
      <rPr>
        <b/>
        <sz val="14"/>
        <color indexed="53"/>
        <rFont val="Arial"/>
        <family val="2"/>
      </rPr>
      <t xml:space="preserve">
</t>
    </r>
  </si>
  <si>
    <r>
      <t>CONTRATO 1916 DE 2022 - CORTE</t>
    </r>
    <r>
      <rPr>
        <b/>
        <sz val="24"/>
        <color rgb="FF000000"/>
        <rFont val="Calibri"/>
        <family val="2"/>
      </rPr>
      <t xml:space="preserve"> DEL 1 JUNIO DE 2023 AL 30 DE JUNIO DE 2023</t>
    </r>
  </si>
  <si>
    <t xml:space="preserve">ALISTAMIENTO PLAZA DE ARTESANOS </t>
  </si>
  <si>
    <t xml:space="preserve">7852 </t>
  </si>
  <si>
    <t xml:space="preserve">TRASLADO MATERIAL </t>
  </si>
  <si>
    <t xml:space="preserve">UDS - JEISON </t>
  </si>
  <si>
    <t>TRASLADO DE MATERIAL ESTRATEGIA BGTA</t>
  </si>
  <si>
    <t xml:space="preserve">TRASLADO DE INVENTARIOS </t>
  </si>
  <si>
    <t>ENTREGA DE MODULOS</t>
  </si>
  <si>
    <t xml:space="preserve">SERVICIO SOCIAL </t>
  </si>
  <si>
    <r>
      <t xml:space="preserve">MOVIMIENTOS:
</t>
    </r>
    <r>
      <rPr>
        <b/>
        <sz val="14"/>
        <color theme="1"/>
        <rFont val="Arial"/>
        <family val="2"/>
      </rPr>
      <t xml:space="preserve">* SE REQUIERE QUE LOS TRES OPERARI@S PARA APOYO DE CICLOVÍA LLEGUEN A  PLAZA DE LOS ARTESANOS Carrera 60 #63A-52 A LAS 10:00 AM Y ESTEN DISPONIBLES 05:00 PM. ENCARGADO LUIS MARTINEZ 3124158470.
</t>
    </r>
    <r>
      <rPr>
        <b/>
        <sz val="14"/>
        <color rgb="FFFF0000"/>
        <rFont val="Arial"/>
        <family val="2"/>
      </rPr>
      <t xml:space="preserve">
</t>
    </r>
    <r>
      <rPr>
        <b/>
        <sz val="14"/>
        <color theme="1"/>
        <rFont val="Arial"/>
        <family val="2"/>
      </rPr>
      <t>* LA CAMIONETA FURGONADA DE PENDONES DE CALLE 26 DEBE LLEGAR A LAS  4:00 AM A LA PLAZA DE ARTESANOS, JUNTO CON LOS DOS OPERARIOS ADICIONALES.</t>
    </r>
    <r>
      <rPr>
        <b/>
        <sz val="14"/>
        <color rgb="FFFF0000"/>
        <rFont val="Arial"/>
        <family val="2"/>
      </rPr>
      <t xml:space="preserve">
</t>
    </r>
    <r>
      <rPr>
        <b/>
        <sz val="14"/>
        <color theme="1"/>
        <rFont val="Arial"/>
        <family val="2"/>
      </rPr>
      <t>*SE RECUERDA QUE PARA LOS CORREDORES DE LA CALLE 26 SU HORA DE CIERRE SON LAS 6:30 AM COMO HORA MAXIMA, POR LO CUAL ESTOS CORREDORES DE ACUERDO LA PLAN DE MANEJO DE TRANSITO -  PMT SE DEBEN HABLITAR A LA HORA NARRADA, POR FAVOR HACER LOS AJUSTES CORRESPONDIENTES PARA QUE ESTOS CAMIONES DISTRIBUYAN EL MATERIAL ANTES, Y FINALICEN EN UN HORARIO ANTES DE LAS 6:30 HRS PARA EL CAMIÓN DE RUTA, GARATIZANDO EL CIERRE PARA QUE LOS VEHICULOS DE CONOS PUEDAN DISTRIBUIR DESDE LAS 6:30 AM Y COMO MAXIMO HASTA LAS 7:00 AM.</t>
    </r>
    <r>
      <rPr>
        <b/>
        <sz val="14"/>
        <color rgb="FFFF0000"/>
        <rFont val="Arial"/>
        <family val="2"/>
      </rPr>
      <t xml:space="preserve">
</t>
    </r>
    <r>
      <rPr>
        <b/>
        <sz val="14"/>
        <color theme="1"/>
        <rFont val="Arial"/>
        <family val="2"/>
      </rPr>
      <t xml:space="preserve">*PARA ALGUNOS VEHICULOS SALE MATERIAL ADICIONAL POR FAVOR TENER MUY ENCUENTA EL CUBICAJE DE CADA UNO DE LOS VEHICULOS. </t>
    </r>
    <r>
      <rPr>
        <b/>
        <sz val="14"/>
        <color rgb="FFFF0000"/>
        <rFont val="Arial"/>
        <family val="2"/>
      </rPr>
      <t xml:space="preserve">
</t>
    </r>
    <r>
      <rPr>
        <b/>
        <sz val="14"/>
        <color theme="1"/>
        <rFont val="Arial"/>
        <family val="2"/>
      </rPr>
      <t xml:space="preserve">*SE CAMBIO EL MATERIAL PARA LOS CORREDORES DE N1, N2, N3, C1, C4 Y C5 SE SOLCITA SOCIALIZAR CON LOS OPERARIOS DE ESTAS RUTAS EL BUEN TRATO DEL MATERIAL, ENTENDIENDO QUE ES NUEVO. </t>
    </r>
    <r>
      <rPr>
        <b/>
        <sz val="14"/>
        <color rgb="FFFF0000"/>
        <rFont val="Arial"/>
        <family val="2"/>
      </rPr>
      <t xml:space="preserve">
</t>
    </r>
    <r>
      <rPr>
        <b/>
        <sz val="14"/>
        <color theme="1"/>
        <rFont val="Arial"/>
        <family val="2"/>
      </rPr>
      <t xml:space="preserve">*SE SOLICTA NUEVAMENTE SOCIALIZAR CON LOS OPERARIOS QUE DEBEN DEJAR LOS ELEMENTOS CARGADOS EN LAS CABINAS COMO, TULAS, PALETAS  Y CINTAS EN LA PAZA 4 EN LOS STANDS. LOS CUALES FUERON SOCIALIZADOS EL 19 DE MARZO 2023 CON LOS COORDINADORES DE LA EMPRESA. 
</t>
    </r>
    <r>
      <rPr>
        <b/>
        <sz val="14"/>
        <color rgb="FFFF0000"/>
        <rFont val="Arial"/>
        <family val="2"/>
      </rPr>
      <t xml:space="preserve">
CAMIONETA 1: </t>
    </r>
    <r>
      <rPr>
        <b/>
        <sz val="14"/>
        <color theme="1"/>
        <rFont val="Arial"/>
        <family val="2"/>
      </rPr>
      <t>CAMIONETA DEBE LLEGAR A LAS 4:00 AM A PLAZA DE LOS ARTESANOS QUEDA DISPONIBLE. ENCARGADO KEVIN SILVA  3214765973</t>
    </r>
    <r>
      <rPr>
        <b/>
        <sz val="14"/>
        <color rgb="FFFF0000"/>
        <rFont val="Arial"/>
        <family val="2"/>
      </rPr>
      <t xml:space="preserve">
CAMIONETA 2: </t>
    </r>
    <r>
      <rPr>
        <b/>
        <sz val="14"/>
        <color theme="1"/>
        <rFont val="Arial"/>
        <family val="2"/>
      </rPr>
      <t xml:space="preserve">CAMIONETA DEBE LLEGAR A LAS 10:00 AM A  PLAZA DE LOS ARTESANOS QUEDA DISPONIBLE. ENCARGADO DANIELA RATIVA 3505967621
</t>
    </r>
    <r>
      <rPr>
        <b/>
        <sz val="14"/>
        <color rgb="FFFF0000"/>
        <rFont val="Arial"/>
        <family val="2"/>
      </rPr>
      <t xml:space="preserve">
CAMIONETA 3: </t>
    </r>
    <r>
      <rPr>
        <b/>
        <sz val="14"/>
        <color theme="1"/>
        <rFont val="Arial"/>
        <family val="2"/>
      </rPr>
      <t xml:space="preserve">CAMIONETA DEBE LLEGAR A LAS 4:00 AM A PLAZA DE LOS ARTESANOS QUEDA DISPONIBLE. ENCARGADO FELIPE CAMELO 3134952714
</t>
    </r>
    <r>
      <rPr>
        <b/>
        <sz val="14"/>
        <color rgb="FFFF0000"/>
        <rFont val="Arial"/>
        <family val="2"/>
      </rPr>
      <t xml:space="preserve">
CAMIONETA 4: </t>
    </r>
    <r>
      <rPr>
        <b/>
        <sz val="14"/>
        <color theme="1"/>
        <rFont val="Arial"/>
        <family val="2"/>
      </rPr>
      <t xml:space="preserve">CAMIONETA DEBE LLEGAR A LAS 4:00 AM A PLAZA DE LOS ARTESANOS QUEDA DISPONIBLE. ENVARGADO KEVIN SILVA  3214765973
</t>
    </r>
    <r>
      <rPr>
        <b/>
        <sz val="14"/>
        <color rgb="FFFF0000"/>
        <rFont val="Arial"/>
        <family val="2"/>
      </rPr>
      <t xml:space="preserve">
FURGONADA: </t>
    </r>
    <r>
      <rPr>
        <b/>
        <sz val="14"/>
        <color theme="1"/>
        <rFont val="Arial"/>
        <family val="2"/>
      </rPr>
      <t>CAMIONETA DEBE LLEGAR A LAS 5:30 AM A PLAZA DE LOS ARTESANOS, QUEDA DISPONIBLE. ENCARGADO DANIELA RATIVA 3505967621</t>
    </r>
    <r>
      <rPr>
        <b/>
        <sz val="14"/>
        <color rgb="FFFF0000"/>
        <rFont val="Arial"/>
        <family val="2"/>
      </rPr>
      <t xml:space="preserve">
ESCUELA DE LA BICI:  </t>
    </r>
    <r>
      <rPr>
        <b/>
        <sz val="14"/>
        <color theme="1"/>
        <rFont val="Arial"/>
        <family val="2"/>
      </rPr>
      <t>EL VEHÍCULO DE ESCUELA. SE ACALARA QUE DEBEN COMUNICARSE CON EL TALENTO HUMANO DE EL PROGRAMA DE ESCUELA DE LA BICICLETA SERGIO PRIETO CEL 3167160204, LO ANTERIOR PARA COORDINAR LOS PUNTOS Y LOS DESPLAZAMIENTOS. VEHICULO POR 15 HORAS</t>
    </r>
    <r>
      <rPr>
        <b/>
        <sz val="14"/>
        <color rgb="FFFF0000"/>
        <rFont val="Arial"/>
        <family val="2"/>
      </rPr>
      <t xml:space="preserve">
ATN: </t>
    </r>
    <r>
      <rPr>
        <b/>
        <sz val="14"/>
        <color theme="1"/>
        <rFont val="Arial"/>
        <family val="2"/>
      </rPr>
      <t>EL CAMIÓN DE ATN DEBE LLEGAR A PLAZA DE LOS ARTESANOS A LAS 7 AM, POSTERIORMENTE DRIGIRSE A LOS PUNTOS; CONTACTAR A JULIETTE ARROYO 3012802342, SERVICIO POR 15 HORAS.</t>
    </r>
    <r>
      <rPr>
        <b/>
        <sz val="14"/>
        <color rgb="FFFF0000"/>
        <rFont val="Arial"/>
        <family val="2"/>
      </rPr>
      <t xml:space="preserve">
</t>
    </r>
    <r>
      <rPr>
        <b/>
        <sz val="14"/>
        <color theme="1"/>
        <rFont val="Arial"/>
        <family val="2"/>
      </rPr>
      <t xml:space="preserve">N3- KR 7 x CLL 102
S2- AV. BOYACA X GAITÁN CORTEZ
</t>
    </r>
    <r>
      <rPr>
        <b/>
        <sz val="14"/>
        <color rgb="FFFF0000"/>
        <rFont val="Arial"/>
        <family val="2"/>
      </rPr>
      <t xml:space="preserve">
</t>
    </r>
    <r>
      <rPr>
        <b/>
        <sz val="14"/>
        <color theme="1"/>
        <rFont val="Arial"/>
        <family val="2"/>
      </rPr>
      <t xml:space="preserve">EL CICLOPARQUEADERO DE LA CALLE 80 SE DEBE IR EN EL CAMIÓN DE DIVISORES Y DEBE DESCARGARSE EN LA AV BOYACA CON CALLE 80, POR FAVOR CORDINADOR DE LA ZONA NORTE ESTAR MUY PENDIENTE. 
ENTREGA DE MODULOS: DEBE LLEGAR A PLAZA DE ARTESANOS A LAS 7:00 AM, Y REALIZAR EL CARGUE DE LOS SIGUIENTE MODULOS 30 ALIMENTOS, 7 CICLOTALLER, 19 MESAS, 1 MESA DE ACCESORIOS Y10 TRÍPODES CICLOTALLER. POSTERIORMENTE DIRIGIRSE A CADA UNA DE LAS RUTAS A ENTREGAR LOS ELEMENTOS. SERVICIO POR 15 HORAS. </t>
    </r>
    <r>
      <rPr>
        <b/>
        <sz val="14"/>
        <color rgb="FFFF0000"/>
        <rFont val="Arial"/>
        <family val="2"/>
      </rPr>
      <t xml:space="preserve">
SERVICIO SOCIAL: </t>
    </r>
    <r>
      <rPr>
        <b/>
        <sz val="14"/>
        <color theme="1"/>
        <rFont val="Arial"/>
        <family val="2"/>
      </rPr>
      <t xml:space="preserve">DEBE LLEGAR A LAS 5:00 AM CARGAR LOS SIGUIENTES ELEMENTOS, 
•	CINTA DE CERRAMIENTO
•	14 CONOS
•	1 VALLA DE CERRAMIENTO
•	1 CONTRAFLUJO
•	1 DIVISOR CARRIL
•	1 VALLA TIPO 2
•	GORRA SERVICIO SOCIAL (4)
•	AROS O ULA ULA’S (12)
•	FESTONES (2)
•	JENGA
•	TRIKI
POSTEIORMENTE REGRESAR A PLAZA DE ARTESANOS; CARGAR 14 BICICLETAS Y 14 CASCOS, Y DRIGIRSE A MONUMENTO REYES CATOLICOS. Y REALIZAR EL MOVIMIENTO DE MANERA INVERSA. 
DISPONIBLES: SE DEBE DEJAR DOS CAMIONES DE 25m2 CON 3 OPERARIOS LOS CUALES DEBEN REGRESAR A LA PLAZA DE LOS ARTESANOS A LAS 8:30 AM, ENCARGADO DANIELA RATIVA 3505967621 </t>
    </r>
    <r>
      <rPr>
        <b/>
        <sz val="14"/>
        <color rgb="FFFF0000"/>
        <rFont val="Arial"/>
        <family val="2"/>
      </rPr>
      <t xml:space="preserve">
LUDICA Y PEDAGOGIA: </t>
    </r>
    <r>
      <rPr>
        <b/>
        <sz val="14"/>
        <color theme="1"/>
        <rFont val="Arial"/>
        <family val="2"/>
      </rPr>
      <t>LA CAMIONETA FURGONADA DEBE LLEGAR COMO DE COSTUMBRE 5:30 AM, CARGAR LOS ELEMENTOS DE LA ACTIVIDAD Y DIRIGIRSE A LA CARRERA 7 CON CALLE 28 Y AV BOYACA CON CALLE 39S
PARA EL DOMINGO SE TIENE LA CARRERA DE ANTIOQUIA POR LO CUAL SE SUSPENDERA LA CARRERA 60 ENTRE CALLE 26 Y CALLE 53, ASÍ COMO LA CALLE 44 ENTRE CARRERA 50 Y CARRERA 60. VEHICULO DE C2 DEBE QUEDAR DISPONIBLE PARA LA HABILITACIÓN DE LA MISMA MANERA LOS VEHICULOS DE N5, C2 C4 LLEVAN VALLAS DE CICLOVÍA SUSPENDIDA POR EVENTO. 
DE ACUERDO A LAS POSIBLES MARCHAS QUE SE PUEDAN PRESENTAR CON LAS FUERZAS MILITARES, ES POSIBLE QUE DESAHBILITE ALGUNOS CORREDORES, ESTAR MUY PRESTOS PARA LA DESHABILITACIÓN.</t>
    </r>
  </si>
  <si>
    <r>
      <rPr>
        <b/>
        <sz val="14"/>
        <color rgb="FFFF0000"/>
        <rFont val="Arial"/>
        <family val="2"/>
      </rPr>
      <t>MOVIMIENTOS:</t>
    </r>
    <r>
      <rPr>
        <b/>
        <sz val="14"/>
        <color theme="1"/>
        <rFont val="Arial"/>
        <family val="2"/>
      </rPr>
      <t xml:space="preserve">
* SE REQUIERE QUE LOS TRES OPERARI@S PARA APOYO DE CICLOVÍA LLEGUEN A  PLAZA DE LOS ARTESANOS Carrera 60 #63A-52 A LAS 10:00 AM Y ESTEN DISPONIBLES 05:00 PM. ENCARGADO LUIS MARTINEZ 3124158470.
* LA CAMIONETA FURGONADA DE PENDONES DE CALLE 26 DEBE LLEGAR A LAS  4:00 AM A LA PLAZA DE ARTESANOS, JUNTO CON LOS DOS OPERARIOS ADICIONALES.
*SE RECUERDA QUE PARA LOS CORREDORES DE LA CALLE 26 SU HORA DE CIERRE SON LAS 6:30 AM COMO HORA MAXIMA, POR LO CUAL ESTOS CORREDORES DE ACUERDO LA PLAN DE MANEJO DE TRANSITO -  PMT SE DEBEN HABLITAR A LA HORA NARRADA, POR FAVOR HACER LOS AJUSTES CORRESPONDIENTES PARA QUE ESTOS CAMIONES DISTRIBUYAN EL MATERIAL ANTES, Y FINALICEN EN UN HORARIO ANTES DE LAS 6:30 HRS PARA EL CAMIÓN DE RUTA, GARATIZANDO EL CIERRE PARA QUE LOS VEHICULOS DE CONOS PUEDAN DISTRIBUIR DESDE LAS 6:30 AM Y COMO MAXIMO HASTA LAS 7:00 AM.
*PARA ALGUNOS VEHICULOS SALE MATERIAL ADICIONAL POR FAVOR TENER MUY ENCUENTA EL CUBICAJE DE CADA UNO DE LOS VEHICULOS. 
*SE CAMBIO EL MATERIAL PARA LOS CORREDORES DE N1, N2, N3, C1, C4 Y C5 SE SOLCITA SOCIALIZAR CON LOS OPERARIOS DE ESTAS RUTAS EL BUEN TRATO DEL MATERIAL, ENTENDIENDO QUE ES NUEVO. 
*SE SOLICTA NUEVAMENTE SOCIALIZAR CON LOS OPERARIOS QUE DEBEN DEJAR LOS ELEMENTOS CARGADOS EN LAS CABINAS COMO, TULAS, PALETAS  Y CINTAS EN LA PAZA 4 EN LOS STANDS. LOS CUALES FUERON SOCIALIZADOS EL 19 DE MARZO 2023 CON LOS COORDINADORES DE LA EMPRESA. 
</t>
    </r>
    <r>
      <rPr>
        <b/>
        <sz val="14"/>
        <color rgb="FFFF0000"/>
        <rFont val="Arial"/>
        <family val="2"/>
      </rPr>
      <t>CAMIONETA 1:</t>
    </r>
    <r>
      <rPr>
        <b/>
        <sz val="14"/>
        <color theme="1"/>
        <rFont val="Arial"/>
        <family val="2"/>
      </rPr>
      <t xml:space="preserve"> CAMIONETA DEBE LLEGAR A LAS 4:00 AM A PLAZA DE LOS ARTESANOS QUEDA DISPONIBLE. ENCARGADO KEVIN SILVA  3214765973
</t>
    </r>
    <r>
      <rPr>
        <b/>
        <sz val="14"/>
        <color rgb="FFFF0000"/>
        <rFont val="Arial"/>
        <family val="2"/>
      </rPr>
      <t xml:space="preserve">CAMIONETA 2: </t>
    </r>
    <r>
      <rPr>
        <b/>
        <sz val="14"/>
        <color theme="1"/>
        <rFont val="Arial"/>
        <family val="2"/>
      </rPr>
      <t xml:space="preserve">CAMIONETA DEBE LLEGAR A LAS 10:00 AM A  PLAZA DE LOS ARTESANOS QUEDA DISPONIBLE. ENCARGADO DANIELA RATIVA 3505967621
</t>
    </r>
    <r>
      <rPr>
        <b/>
        <sz val="14"/>
        <color rgb="FFFF0000"/>
        <rFont val="Arial"/>
        <family val="2"/>
      </rPr>
      <t>CAMIONETA 3:</t>
    </r>
    <r>
      <rPr>
        <b/>
        <sz val="14"/>
        <color theme="1"/>
        <rFont val="Arial"/>
        <family val="2"/>
      </rPr>
      <t xml:space="preserve"> CAMIONETA DEBE LLEGAR A LAS 4:00 AM A PLAZA DE LOS ARTESANOS QUEDA DISPONIBLE. ENCARGADO FELIPE CAMELO 3134952714
</t>
    </r>
    <r>
      <rPr>
        <b/>
        <sz val="14"/>
        <color rgb="FFFF0000"/>
        <rFont val="Arial"/>
        <family val="2"/>
      </rPr>
      <t>CAMIONETA 4:</t>
    </r>
    <r>
      <rPr>
        <b/>
        <sz val="14"/>
        <color theme="1"/>
        <rFont val="Arial"/>
        <family val="2"/>
      </rPr>
      <t xml:space="preserve"> CAMIONETA DEBE LLEGAR A LAS 4:00 AM A PLAZA DE LOS ARTESANOS QUEDA DISPONIBLE. ENVARGADO KEVIN SILVA  3214765973
</t>
    </r>
    <r>
      <rPr>
        <b/>
        <sz val="14"/>
        <color rgb="FFFF0000"/>
        <rFont val="Arial"/>
        <family val="2"/>
      </rPr>
      <t>FURGONADA:</t>
    </r>
    <r>
      <rPr>
        <b/>
        <sz val="14"/>
        <color theme="1"/>
        <rFont val="Arial"/>
        <family val="2"/>
      </rPr>
      <t xml:space="preserve"> CAMIONETA DEBE LLEGAR A LAS 5:30 AM A PLAZA DE LOS ARTESANOS, QUEDA DISPONIBLE. ENCARGADO DANIELA RATIVA 3505967621
</t>
    </r>
    <r>
      <rPr>
        <b/>
        <sz val="14"/>
        <color rgb="FFFF0000"/>
        <rFont val="Arial"/>
        <family val="2"/>
      </rPr>
      <t xml:space="preserve">ESCUELA DE LA BICI:  </t>
    </r>
    <r>
      <rPr>
        <b/>
        <sz val="14"/>
        <color theme="1"/>
        <rFont val="Arial"/>
        <family val="2"/>
      </rPr>
      <t xml:space="preserve">EL VEHÍCULO DE ESCUELA. SE ACALARA QUE DEBEN COMUNICARSE CON EL TALENTO HUMANO DE EL PROGRAMA DE ESCUELA DE LA BICICLETA SERGIO PRIETO CEL 3167160204, LO ANTERIOR PARA COORDINAR LOS PUNTOS Y LOS DESPLAZAMIENTOS. VEHICULO POR 15 HORAS
</t>
    </r>
    <r>
      <rPr>
        <b/>
        <sz val="14"/>
        <color rgb="FFFF0000"/>
        <rFont val="Arial"/>
        <family val="2"/>
      </rPr>
      <t>ATN:</t>
    </r>
    <r>
      <rPr>
        <b/>
        <sz val="14"/>
        <color theme="1"/>
        <rFont val="Arial"/>
        <family val="2"/>
      </rPr>
      <t xml:space="preserve"> EL CAMIÓN DE ATN DEBE LLEGAR A PLAZA DE LOS ARTESANOS A LAS 7 AM, POSTERIORMENTE DRIGIRSE A LOS PUNTOS; CONTACTAR A JULIETTE ARROYO 3012802342, SERVICIO POR 15 HORAS.
N3- KR 7 x CLL 102
S2- AV. BOYACA X GAITÁN CORTEZ
EL CICLOPARQUEADERO DE LA CALLE 80 SE DEBE IR EN EL CAMIÓN DE DIVISORES Y DEBE DESCARGARSE EN LA AV BOYACA CON CALLE 80, POR FAVOR CORDINADOR DE LA ZONA NORTE ESTAR MUY PENDIENTE. 
</t>
    </r>
    <r>
      <rPr>
        <b/>
        <sz val="14"/>
        <color rgb="FFFF0000"/>
        <rFont val="Arial"/>
        <family val="2"/>
      </rPr>
      <t>ENTREGA DE MODULOS:</t>
    </r>
    <r>
      <rPr>
        <b/>
        <sz val="14"/>
        <color theme="1"/>
        <rFont val="Arial"/>
        <family val="2"/>
      </rPr>
      <t xml:space="preserve"> DEBE LLEGAR A PLAZA DE ARTESANOS A LAS 7:00 AM, Y REALIZAR EL CARGUE DE LOS SIGUIENTE MODULOS 30 ALIMENTOS, 7 CICLOTALLER, 19 MESAS, 1 MESA DE ACCESORIOS Y10 TRÍPODES CICLOTALLER. POSTERIORMENTE DIRIGIRSE A CADA UNA DE LAS RUTAS A ENTREGAR LOS ELEMENTOS. SERVICIO POR 15 HORAS. 
</t>
    </r>
    <r>
      <rPr>
        <b/>
        <sz val="14"/>
        <color rgb="FFFF0000"/>
        <rFont val="Arial"/>
        <family val="2"/>
      </rPr>
      <t>DISPONIBLES:</t>
    </r>
    <r>
      <rPr>
        <b/>
        <sz val="14"/>
        <color theme="1"/>
        <rFont val="Arial"/>
        <family val="2"/>
      </rPr>
      <t xml:space="preserve"> SE DEBE DEJAR DOS CAMIONES DE 25m2 CON 3 OPERARIOS LOS CUALES DEBEN REGRESAR A LA PLAZA DE LOS ARTESANOS A LAS 8:30 AM, ENCARGADO DANIELA RATIVA 3505967621 
DE ACUERDO A LAS POSIBLES MARCHAS QUE SE PUEDAN PRESENTAR CON LAS FUERZAS MILITARES, ES POSIBLE QUE DESAHBILITE ALGUNOS CORREDORES, ESTAR MUY PRESTOS PARA LA DESHABILITACIÓN.</t>
    </r>
  </si>
  <si>
    <r>
      <t xml:space="preserve">MOVIMIENTOS:
</t>
    </r>
    <r>
      <rPr>
        <b/>
        <sz val="14"/>
        <color theme="1"/>
        <rFont val="Arial"/>
        <family val="2"/>
      </rPr>
      <t>* SE REQUIERE QUE LOS TRES OPERARI@S PARA APOYO DE CICLOVÍA LLEGUEN A  PLAZA DE LOS ARTESANOS Carrera 60 #63A-52 A LAS 10:00 AM Y ESTEN DISPONIBLES 05:00 PM. ENCARGADO LUIS MARTINEZ 3124158470.
* LA CAMIONETA FURGONADA DE PENDONES DE CALLE 26 DEBE LLEGAR A LAS  4:00 AM A LA PLAZA DE ARTESANOS, JUNTO CON LOS DOS OPERARIOS ADICIONALES.</t>
    </r>
    <r>
      <rPr>
        <b/>
        <sz val="14"/>
        <color rgb="FFFF0000"/>
        <rFont val="Arial"/>
        <family val="2"/>
      </rPr>
      <t xml:space="preserve">
</t>
    </r>
    <r>
      <rPr>
        <b/>
        <sz val="14"/>
        <color theme="1"/>
        <rFont val="Arial"/>
        <family val="2"/>
      </rPr>
      <t xml:space="preserve">*SE RECUERDA QUE PARA LOS CORREDORES DE LA CALLE 26 SU HORA DE CIERRE SON LAS 6:30 AM COMO HORA MAXIMA, POR LO CUAL ESTOS CORREDORES DE ACUERDO LA PLAN DE MANEJO DE TRANSITO -  PMT SE DEBEN HABLITAR A LA HORA NARRADA, POR FAVOR HACER LOS AJUSTES CORRESPONDIENTES PARA QUE ESTOS CAMIONES DISTRIBUYAN EL MATERIAL ANTES, Y FINALICEN EN UN HORARIO ANTES DE LAS 6:30 HRS PARA EL CAMIÓN DE RUTA, GARATIZANDO EL CIERRE PARA QUE LOS VEHICULOS DE CONOS PUEDAN DISTRIBUIR DESDE LAS 6:30 AM Y COMO MAXIMO HASTA LAS 7:00 AM.
*PARA ALGUNOS VEHICULOS SALE MATERIAL ADICIONAL POR FAVOR TENER MUY ENCUENTA EL CUBICAJE DE CADA UNO DE LOS VEHICULOS. 
*SE CAMBIO EL MATERIAL PARA LOS CORREDORES DE N1, N2, N3, C1, C4 Y C5 SE SOLCITA SOCIALIZAR CON LOS OPERARIOS DE ESTAS RUTAS EL BUEN TRATO DEL MATERIAL, ENTENDIENDO QUE ES NUEVO. </t>
    </r>
    <r>
      <rPr>
        <b/>
        <sz val="14"/>
        <color rgb="FFFF0000"/>
        <rFont val="Arial"/>
        <family val="2"/>
      </rPr>
      <t xml:space="preserve">
</t>
    </r>
    <r>
      <rPr>
        <b/>
        <sz val="14"/>
        <color theme="1"/>
        <rFont val="Arial"/>
        <family val="2"/>
      </rPr>
      <t xml:space="preserve">*SE SOLICTA NUEVAMENTE SOCIALIZAR CON LOS OPERARIOS QUE DEBEN DEJAR LOS ELEMENTOS CARGADOS EN LAS CABINAS COMO, TULAS, PALETAS  Y CINTAS EN LA PAZA 4 EN LOS STANDS. LOS CUALES FUERON SOCIALIZADOS EL 19 DE MARZO 2023 CON LOS COORDINADORES DE LA EMPRESA. 
</t>
    </r>
    <r>
      <rPr>
        <b/>
        <sz val="14"/>
        <color rgb="FFFF0000"/>
        <rFont val="Arial"/>
        <family val="2"/>
      </rPr>
      <t xml:space="preserve">
CAMIONETA 1: </t>
    </r>
    <r>
      <rPr>
        <b/>
        <sz val="14"/>
        <color theme="1"/>
        <rFont val="Arial"/>
        <family val="2"/>
      </rPr>
      <t>CAMIONETA DEBE LLEGAR A LAS 4:00 AM A PLAZA DE LOS ARTESANOS QUEDA DISPONIBLE. ENCARGADO DANIELA RATIVA 3505967621</t>
    </r>
    <r>
      <rPr>
        <b/>
        <sz val="14"/>
        <color rgb="FFFF0000"/>
        <rFont val="Arial"/>
        <family val="2"/>
      </rPr>
      <t xml:space="preserve">
CAMIONETA 2: </t>
    </r>
    <r>
      <rPr>
        <b/>
        <sz val="14"/>
        <color theme="1"/>
        <rFont val="Arial"/>
        <family val="2"/>
      </rPr>
      <t>CAMIONETA DEBE LLEGAR A LAS 10:00 AM A  PLAZA DE LOS ARTESANOS QUEDA DISPONIBLE. ENCARGADO DANIELA RATIVA 3505967621</t>
    </r>
    <r>
      <rPr>
        <b/>
        <sz val="14"/>
        <color rgb="FFFF0000"/>
        <rFont val="Arial"/>
        <family val="2"/>
      </rPr>
      <t xml:space="preserve">
CAMIONETA 3: </t>
    </r>
    <r>
      <rPr>
        <b/>
        <sz val="14"/>
        <color theme="1"/>
        <rFont val="Arial"/>
        <family val="2"/>
      </rPr>
      <t>CAMIONETA DEBE LLEGAR A LAS 4:00 AM A PLAZA DE LOS ARTESANOS QUEDA DISPONIBLE. ENCARGADO ANDRES LIZARAZO 3193068226</t>
    </r>
    <r>
      <rPr>
        <b/>
        <sz val="14"/>
        <color rgb="FFFF0000"/>
        <rFont val="Arial"/>
        <family val="2"/>
      </rPr>
      <t xml:space="preserve">
CAMIONETA 4: </t>
    </r>
    <r>
      <rPr>
        <b/>
        <sz val="14"/>
        <color theme="1"/>
        <rFont val="Arial"/>
        <family val="2"/>
      </rPr>
      <t>CAMIONETA DEBE LLEGAR A LAS 4:00 AM A PLAZA DE LOS ARTESANOS QUEDA DISPONIBLE. ENVARGADO JESSIKA GONZALES  3212403700</t>
    </r>
    <r>
      <rPr>
        <b/>
        <sz val="14"/>
        <color rgb="FFFF0000"/>
        <rFont val="Arial"/>
        <family val="2"/>
      </rPr>
      <t xml:space="preserve">
FURGONADA:</t>
    </r>
    <r>
      <rPr>
        <b/>
        <sz val="14"/>
        <color theme="1"/>
        <rFont val="Arial"/>
        <family val="2"/>
      </rPr>
      <t xml:space="preserve"> CAMIONETA DEBE LLEGAR A LAS 5:30 AM A PLAZA DE LOS ARTESANOS, QUEDA DISPONIBLE. ENCARGADO DANIELA RATIVA 3505967621</t>
    </r>
    <r>
      <rPr>
        <b/>
        <sz val="14"/>
        <color rgb="FFFF0000"/>
        <rFont val="Arial"/>
        <family val="2"/>
      </rPr>
      <t xml:space="preserve">
ESCUELA DE LA BICI:  </t>
    </r>
    <r>
      <rPr>
        <b/>
        <sz val="14"/>
        <color theme="1"/>
        <rFont val="Arial"/>
        <family val="2"/>
      </rPr>
      <t>EL VEHÍCULO DE ESCUELA. SE ACALARA QUE DEBEN COMUNICARSE CON EL TALENTO HUMANO DE EL PROGRAMA DE ESCUELA DE LA BICICLETA SERGIO PRIETO CEL 3167160204, LO ANTERIOR PARA COORDINAR LOS PUNTOS Y LOS DESPLAZAMIENTOS. VEHICULO POR 15 HORAS</t>
    </r>
    <r>
      <rPr>
        <b/>
        <sz val="14"/>
        <color rgb="FFFF0000"/>
        <rFont val="Arial"/>
        <family val="2"/>
      </rPr>
      <t xml:space="preserve">
ATN: </t>
    </r>
    <r>
      <rPr>
        <b/>
        <sz val="14"/>
        <color theme="1"/>
        <rFont val="Arial"/>
        <family val="2"/>
      </rPr>
      <t>EL CAMIÓN DE ATN DEBE LLEGAR A PLAZA DE LOS ARTESANOS A LAS 7 AM, POSTERIORMENTE DRIGIRSE A LOS PUNTOS; CONTACTAR A JULIETTE ARROYO 3012802342, SERVICIO POR 15 HORAS.
NORTE 4: CARRERA 9 X CALLE 145 
CENTRO 4: AV. CALLE 26 X CARRERA 33</t>
    </r>
    <r>
      <rPr>
        <b/>
        <sz val="14"/>
        <color rgb="FFFF0000"/>
        <rFont val="Arial"/>
        <family val="2"/>
      </rPr>
      <t xml:space="preserve">
</t>
    </r>
    <r>
      <rPr>
        <b/>
        <sz val="14"/>
        <color theme="1"/>
        <rFont val="Arial"/>
        <family val="2"/>
      </rPr>
      <t xml:space="preserve">EL CICLOPARQUEADERO DE LA CALLE 80 SE DEBE IR EN EL CAMIÓN DE DIVISORES Y DEBE DESCARGARSE EN LA AV BOYACA CON CALLE 80, POR FAVOR CORDINADOR DE LA ZONA NORTE ESTAR MUY PENDIENTE. </t>
    </r>
    <r>
      <rPr>
        <b/>
        <sz val="14"/>
        <color rgb="FFFF0000"/>
        <rFont val="Arial"/>
        <family val="2"/>
      </rPr>
      <t xml:space="preserve">
ENTREGA DE MODULOS:</t>
    </r>
    <r>
      <rPr>
        <b/>
        <sz val="14"/>
        <color theme="1"/>
        <rFont val="Arial"/>
        <family val="2"/>
      </rPr>
      <t xml:space="preserve"> DEBE LLEGAR A PLAZA DE ARTESANOS A LAS 7:00 AM, Y REALIZAR EL CARGUE DE LOS SIGUIENTE MODULOS 30 ALIMENTOS, 7 CICLOTALLER, 19 MESAS, 1 MESA DE ACCESORIOS Y10 TRÍPODES CICLOTALLER. POSTERIORMENTE DIRIGIRSE A CADA UNA DE LAS RUTAS A ENTREGAR LOS ELEMENTOS. SERVICIO POR 15 HORAS. 
</t>
    </r>
    <r>
      <rPr>
        <b/>
        <sz val="14"/>
        <color rgb="FFFF0000"/>
        <rFont val="Arial"/>
        <family val="2"/>
      </rPr>
      <t xml:space="preserve">
DISPONIBLES: </t>
    </r>
    <r>
      <rPr>
        <b/>
        <sz val="14"/>
        <color theme="1"/>
        <rFont val="Arial"/>
        <family val="2"/>
      </rPr>
      <t xml:space="preserve">SE DEBE DEJAR DOS CAMIONES DE 25m2 CON 3 OPERARIOS LOS CUALES DEBEN REGRESAR A LA PLAZA DE LOS ARTESANOS A LAS 8:30 AM, ENCARGADO DANIELA RATIVA 3505967621 
</t>
    </r>
    <r>
      <rPr>
        <b/>
        <sz val="14"/>
        <color rgb="FFFF0000"/>
        <rFont val="Arial"/>
        <family val="2"/>
      </rPr>
      <t xml:space="preserve">
LUDICA Y PEDAGOGIA: </t>
    </r>
    <r>
      <rPr>
        <b/>
        <sz val="14"/>
        <color theme="1"/>
        <rFont val="Arial"/>
        <family val="2"/>
      </rPr>
      <t xml:space="preserve">LA CAMIONETA FURGONADA DEBE LLEGAR COMO DE COSTUMBRE 5:30 AM, CARGAR LOS ELEMENTOS DE LA ACTIVIDAD Y DIRIGIRSE A:
</t>
    </r>
    <r>
      <rPr>
        <b/>
        <sz val="14"/>
        <color rgb="FFFF0000"/>
        <rFont val="Arial"/>
        <family val="2"/>
      </rPr>
      <t xml:space="preserve">
</t>
    </r>
    <r>
      <rPr>
        <b/>
        <sz val="14"/>
        <color theme="1"/>
        <rFont val="Arial"/>
        <family val="2"/>
      </rPr>
      <t xml:space="preserve">AV. BOYACA x CL 44 SUR
</t>
    </r>
    <r>
      <rPr>
        <b/>
        <sz val="14"/>
        <color rgb="FFFF0000"/>
        <rFont val="Arial"/>
        <family val="2"/>
      </rPr>
      <t xml:space="preserve">
</t>
    </r>
    <r>
      <rPr>
        <b/>
        <sz val="14"/>
        <color theme="1"/>
        <rFont val="Arial"/>
        <family val="2"/>
      </rPr>
      <t xml:space="preserve">DE ACUERDO A LAS POSIBLES MARCHAS QUE SE PUEDAN PRESENTAR CON LAS FUERZAS MILITARES, ES POSIBLE QUE DESAHBILITE ALGUNOS CORREDORES, ESTAR MUY PRESTOS PARA LA DESHABILITACIÓN
FINALMENTE PARA ESTE FIN DE SEMANA SE CAMBIARÁ DIVISORES DEL CORREDOR DE N1,  POR LOS CONOS Y VALLAS  DE ALTA RESISTENCIA, POR FAVOR COORDINADOR DE LOS NORTES ACOMPANAR ESTE OPERATIVO PARA SU IMPLEMENTACIÓN. </t>
    </r>
  </si>
  <si>
    <r>
      <rPr>
        <b/>
        <sz val="14"/>
        <color rgb="FFFF0000"/>
        <rFont val="Arial"/>
        <family val="2"/>
      </rPr>
      <t>MOVIMIENTOS:</t>
    </r>
    <r>
      <rPr>
        <b/>
        <sz val="14"/>
        <color theme="1"/>
        <rFont val="Arial"/>
        <family val="2"/>
      </rPr>
      <t xml:space="preserve">
* SE REQUIERE QUE LOS TRES OPERARI@S PARA APOYO DE CICLOVÍA LLEGUEN A  PLAZA DE LOS ARTESANOS Carrera 60 #63A-52 A LAS 10:00 AM Y ESTEN DISPONIBLES 05:00 PM. ENCARGADO LUIS MARTINEZ 3124158470.
* LA CAMIONETA FURGONADA DE PENDONES DE CALLE 26 DEBE LLEGAR A LAS  4:00 AM A LA PLAZA DE ARTESANOS, JUNTO CON LOS DOS OPERARIOS ADICIONALES.
*SE RECUERDA QUE PARA LOS CORREDORES DE LA CALLE 26 SU HORA DE CIERRE SON LAS 6:30 AM COMO HORA MAXIMA, POR LO CUAL ESTOS CORREDORES DE ACUERDO LA PLAN DE MANEJO DE TRANSITO -  PMT SE DEBEN HABLITAR A LA HORA NARRADA, POR FAVOR HACER LOS AJUSTES CORRESPONDIENTES PARA QUE ESTOS CAMIONES DISTRIBUYAN EL MATERIAL ANTES, Y FINALICEN EN UN HORARIO ANTES DE LAS 6:30 HRS PARA EL CAMIÓN DE RUTA, GARATIZANDO EL CIERRE PARA QUE LOS VEHICULOS DE CONOS PUEDAN DISTRIBUIR DESDE LAS 6:30 AM Y COMO MAXIMO HASTA LAS 7:00 AM.
*PARA ALGUNOS VEHICULOS SALE MATERIAL ADICIONAL POR FAVOR TENER MUY ENCUENTA EL CUBICAJE DE CADA UNO DE LOS VEHICULOS. 
*SE CAMBIO EL MATERIAL PARA LOS CORREDORES DE N1, N2, N3, C1, C4 Y C5 SE SOLCITA SOCIALIZAR CON LOS OPERARIOS DE ESTAS RUTAS EL BUEN TRATO DEL MATERIAL, ENTENDIENDO QUE ES NUEVO. 
*SE SOLICTA NUEVAMENTE SOCIALIZAR CON LOS OPERARIOS QUE DEBEN DEJAR LOS ELEMENTOS CARGADOS EN LAS CABINAS COMO, TULAS, PALETAS  Y CINTAS EN LA PAZA 4 EN LOS STANDS. LOS CUALES FUERON SOCIALIZADOS EL 19 DE MARZO 2023 CON LOS COORDINADORES DE LA EMPRESA. 
</t>
    </r>
    <r>
      <rPr>
        <b/>
        <sz val="14"/>
        <color rgb="FFFF0000"/>
        <rFont val="Arial"/>
        <family val="2"/>
      </rPr>
      <t>CAMIONETA 1:</t>
    </r>
    <r>
      <rPr>
        <b/>
        <sz val="14"/>
        <color theme="1"/>
        <rFont val="Arial"/>
        <family val="2"/>
      </rPr>
      <t xml:space="preserve"> CAMIONETA DEBE LLEGAR A LAS 4:00 AM A PLAZA DE LOS ARTESANOS QUEDA DISPONIBLE. ENCARGADO KEVIN SILVA  3214765973
</t>
    </r>
    <r>
      <rPr>
        <b/>
        <sz val="14"/>
        <color rgb="FFFF0000"/>
        <rFont val="Arial"/>
        <family val="2"/>
      </rPr>
      <t xml:space="preserve">CAMIONETA 2: </t>
    </r>
    <r>
      <rPr>
        <b/>
        <sz val="14"/>
        <color theme="1"/>
        <rFont val="Arial"/>
        <family val="2"/>
      </rPr>
      <t xml:space="preserve">CAMIONETA DEBE LLEGAR A LAS 10:00 AM A  PLAZA DE LOS ARTESANOS QUEDA DISPONIBLE. ENCARGADO DANIELA RATIVA 3505967621
</t>
    </r>
    <r>
      <rPr>
        <b/>
        <sz val="14"/>
        <color rgb="FFFF0000"/>
        <rFont val="Arial"/>
        <family val="2"/>
      </rPr>
      <t>CAMIONETA 3:</t>
    </r>
    <r>
      <rPr>
        <b/>
        <sz val="14"/>
        <color theme="1"/>
        <rFont val="Arial"/>
        <family val="2"/>
      </rPr>
      <t xml:space="preserve"> CAMIONETA DEBE LLEGAR A LAS 4:00 AM A PLAZA DE LOS ARTESANOS QUEDA DISPONIBLE. ENCARGADO FELIPE CAMELO 3134952714
</t>
    </r>
    <r>
      <rPr>
        <b/>
        <sz val="14"/>
        <color rgb="FFFF0000"/>
        <rFont val="Arial"/>
        <family val="2"/>
      </rPr>
      <t>CAMIONETA 4:</t>
    </r>
    <r>
      <rPr>
        <b/>
        <sz val="14"/>
        <color theme="1"/>
        <rFont val="Arial"/>
        <family val="2"/>
      </rPr>
      <t xml:space="preserve"> CAMIONETA DEBE LLEGAR A LAS 4:00 AM A PLAZA DE LOS ARTESANOS QUEDA DISPONIBLE. ENVARGADO KEVIN SILVA  3214765973
</t>
    </r>
    <r>
      <rPr>
        <b/>
        <sz val="14"/>
        <color rgb="FFFF0000"/>
        <rFont val="Arial"/>
        <family val="2"/>
      </rPr>
      <t>FURGONADA:</t>
    </r>
    <r>
      <rPr>
        <b/>
        <sz val="14"/>
        <color theme="1"/>
        <rFont val="Arial"/>
        <family val="2"/>
      </rPr>
      <t xml:space="preserve"> CAMIONETA DEBE LLEGAR A LAS 5:30 AM A PLAZA DE LOS ARTESANOS, QUEDA DISPONIBLE. ENCARGADO DANIELA RATIVA 3505967621
</t>
    </r>
    <r>
      <rPr>
        <b/>
        <sz val="14"/>
        <color rgb="FFFF0000"/>
        <rFont val="Arial"/>
        <family val="2"/>
      </rPr>
      <t xml:space="preserve">ESCUELA DE LA BICI:  </t>
    </r>
    <r>
      <rPr>
        <b/>
        <sz val="14"/>
        <color theme="1"/>
        <rFont val="Arial"/>
        <family val="2"/>
      </rPr>
      <t xml:space="preserve">EL VEHÍCULO DE ESCUELA. SE ACALARA QUE DEBEN COMUNICARSE CON EL TALENTO HUMANO DE EL PROGRAMA DE ESCUELA DE LA BICICLETA SERGIO PRIETO CEL 3167160204, LO ANTERIOR PARA COORDINAR LOS PUNTOS Y LOS DESPLAZAMIENTOS. VEHICULO POR 15 HORAS
</t>
    </r>
    <r>
      <rPr>
        <b/>
        <sz val="14"/>
        <color rgb="FFFF0000"/>
        <rFont val="Arial"/>
        <family val="2"/>
      </rPr>
      <t>ATN:</t>
    </r>
    <r>
      <rPr>
        <b/>
        <sz val="14"/>
        <color theme="1"/>
        <rFont val="Arial"/>
        <family val="2"/>
      </rPr>
      <t xml:space="preserve"> EL CAMIÓN DE ATN DEBE LLEGAR A PLAZA DE LOS ARTESANOS A LAS 7 AM, POSTERIORMENTE DRIGIRSE A LOS PUNTOS; CONTACTAR A JULIETTE ARROYO 3012802342, SERVICIO POR 15 HORAS.
CARRERA 9 X CALLE 145
CENTRO 4: AV. CALLE 26 X CARRERA 33
EL CICLOPARQUEADERO DE LA CALLE 80 SE DEBE IR EN EL CAMIÓN DE DIVISORES Y DEBE DESCARGARSE EN LA AV BOYACA CON CALLE 80, POR FAVOR CORDINADOR DE LA ZONA NORTE ESTAR MUY PENDIENTE. 
</t>
    </r>
    <r>
      <rPr>
        <b/>
        <sz val="14"/>
        <color rgb="FFFF0000"/>
        <rFont val="Arial"/>
        <family val="2"/>
      </rPr>
      <t>ENTREGA DE MODULOS:</t>
    </r>
    <r>
      <rPr>
        <b/>
        <sz val="14"/>
        <color theme="1"/>
        <rFont val="Arial"/>
        <family val="2"/>
      </rPr>
      <t xml:space="preserve"> DEBE LLEGAR A PLAZA DE ARTESANOS A LAS 7:00 AM, Y REALIZAR EL CARGUE DE LOS SIGUIENTE MODULOS 30 ALIMENTOS, 7 CICLOTALLER, 19 MESAS, 1 MESA DE ACCESORIOS Y10 TRÍPODES CICLOTALLER. POSTERIORMENTE DIRIGIRSE A CADA UNA DE LAS RUTAS A ENTREGAR LOS ELEMENTOS. SERVICIO POR 15 HORAS. 
</t>
    </r>
    <r>
      <rPr>
        <b/>
        <sz val="14"/>
        <color rgb="FFFF0000"/>
        <rFont val="Arial"/>
        <family val="2"/>
      </rPr>
      <t>DISPONIBLES:</t>
    </r>
    <r>
      <rPr>
        <b/>
        <sz val="14"/>
        <color theme="1"/>
        <rFont val="Arial"/>
        <family val="2"/>
      </rPr>
      <t xml:space="preserve"> SE DEBE DEJAR DOS CAMIONES DE 25m2 CON 3 OPERARIOS LOS CUALES DEBEN REGRESAR A LA PLAZA DE LOS ARTESANOS A LAS 8:30 AM, ENCARGADO DANIELA RATIVA 3505967621 
DE ACUERDO A LAS POSIBLES MARCHAS QUE SE PUEDAN PRESENTAR CON LAS FUERZAS MILITARES, ES POSIBLE QUE DESAHBILITE ALGUNOS CORREDORES, ESTAR MUY PRESTOS PARA LA DESHABILITACIÓN.</t>
    </r>
  </si>
  <si>
    <t xml:space="preserve">CICLOPASEO PONAL </t>
  </si>
  <si>
    <t xml:space="preserve">SUSPENSIONES DE LA CARRERA </t>
  </si>
  <si>
    <r>
      <t xml:space="preserve">MOVIMIENTOS:
</t>
    </r>
    <r>
      <rPr>
        <b/>
        <sz val="14"/>
        <color theme="1"/>
        <rFont val="Arial"/>
        <family val="2"/>
      </rPr>
      <t xml:space="preserve">* SE REQUIERE QUE LOS TRES OPERARI@S PARA APOYO DE CICLOVÍA LLEGUEN A  PLAZA DE LOS ARTESANOS Carrera 60 #63A-52 A LAS 10:00 AM Y ESTEN DISPONIBLES 05:00 PM. ENCARGADO LUIS MARTINEZ 3124158470.
* LA CAMIONETA FURGONADA DE PENDONES DE CALLE 26 DEBE LLEGAR A LAS  4:00 AM A LA PLAZA DE ARTESANOS, JUNTO CON LOS DOS OPERARIOS ADICIONALES.
*SE RECUERDA QUE PARA LOS CORREDORES DE LA CALLE 26 SU HORA DE CIERRE SON LAS 6:30 AM COMO HORA MAXIMA, POR LO CUAL ESTOS CORREDORES DE ACUERDO LA PLAN DE MANEJO DE TRANSITO -  PMT SE DEBEN HABLITAR A LA HORA NARRADA, POR FAVOR HACER LOS AJUSTES CORRESPONDIENTES PARA QUE ESTOS CAMIONES DISTRIBUYAN EL MATERIAL ANTES, Y FINALICEN EN UN HORARIO ANTES DE LAS 6:30 HRS PARA EL CAMIÓN DE RUTA, GARATIZANDO EL CIERRE PARA QUE LOS VEHICULOS DE CONOS PUEDAN DISTRIBUIR DESDE LAS 6:30 AM Y COMO MAXIMO HASTA LAS 7:00 AM.
</t>
    </r>
    <r>
      <rPr>
        <b/>
        <sz val="14"/>
        <color rgb="FFFF0000"/>
        <rFont val="Arial"/>
        <family val="2"/>
      </rPr>
      <t xml:space="preserve">
*</t>
    </r>
    <r>
      <rPr>
        <b/>
        <sz val="14"/>
        <color theme="1"/>
        <rFont val="Arial"/>
        <family val="2"/>
      </rPr>
      <t xml:space="preserve">PARA ALGUNOS VEHICULOS SALE MATERIAL ADICIONAL POR FAVOR TENER MUY ENCUENTA EL CUBICAJE DE CADA UNO DE LOS VEHICULOS. 
*SE CAMBIO EL MATERIAL PARA LOS CORREDORES DE N1, N2, N3, C1, C4 Y C5 SE SOLCITA SOCIALIZAR CON LOS OPERARIOS DE ESTAS RUTAS EL BUEN TRATO DEL MATERIAL, ENTENDIENDO QUE ES NUEVO. 
*SE SOLICTA NUEVAMENTE SOCIALIZAR CON LOS OPERARIOS QUE DEBEN DEJAR LOS ELEMENTOS CARGADOS EN LAS CABINAS COMO, TULAS, PALETAS  Y CINTAS EN LA PAZA 4 EN LOS STANDS. LOS CUALES FUERON SOCIALIZADOS EL 19 DE MARZO 2023 CON LOS COORDINADORES DE LA EMPRESA. 
</t>
    </r>
    <r>
      <rPr>
        <b/>
        <sz val="14"/>
        <color rgb="FFFF0000"/>
        <rFont val="Arial"/>
        <family val="2"/>
      </rPr>
      <t xml:space="preserve">
CAMIONETA 1: </t>
    </r>
    <r>
      <rPr>
        <b/>
        <sz val="14"/>
        <color theme="1"/>
        <rFont val="Arial"/>
        <family val="2"/>
      </rPr>
      <t>CAMIONETA DEBE LLEGAR A LAS 4:00 AM A PLAZA DE LOS ARTESANOS QUEDA DISPONIBLE. ENCARGADO DANIELA RATIVA 3505967621</t>
    </r>
    <r>
      <rPr>
        <b/>
        <sz val="14"/>
        <color rgb="FFFF0000"/>
        <rFont val="Arial"/>
        <family val="2"/>
      </rPr>
      <t xml:space="preserve">
CAMIONETA 2: </t>
    </r>
    <r>
      <rPr>
        <b/>
        <sz val="14"/>
        <color theme="1"/>
        <rFont val="Arial"/>
        <family val="2"/>
      </rPr>
      <t>CAMIONETA DEBE LLEGAR A LAS 10:00 AM A  PLAZA DE LOS ARTESANOS QUEDA DISPONIBLE. ENCARGADO DANIELA RATIVA 3505967621</t>
    </r>
    <r>
      <rPr>
        <b/>
        <sz val="14"/>
        <color rgb="FFFF0000"/>
        <rFont val="Arial"/>
        <family val="2"/>
      </rPr>
      <t xml:space="preserve">
CAMIONETA 3: </t>
    </r>
    <r>
      <rPr>
        <b/>
        <sz val="14"/>
        <color theme="1"/>
        <rFont val="Arial"/>
        <family val="2"/>
      </rPr>
      <t>CAMIONETA DEBE LLEGAR A LAS 4:00 AM A PLAZA DE LOS ARTESANOS QUEDA DISPONIBLE. ENCARGADO ANDRES LIZARAZO 3193068226</t>
    </r>
    <r>
      <rPr>
        <b/>
        <sz val="14"/>
        <color rgb="FFFF0000"/>
        <rFont val="Arial"/>
        <family val="2"/>
      </rPr>
      <t xml:space="preserve">
CAMIONETA 4: </t>
    </r>
    <r>
      <rPr>
        <b/>
        <sz val="14"/>
        <color theme="1"/>
        <rFont val="Arial"/>
        <family val="2"/>
      </rPr>
      <t>CAMIONETA DEBE LLEGAR A LAS 4:00 AM A PLAZA DE LOS ARTESANOS QUEDA DISPONIBLE. ENVARGADO JESSIKA GONZALES  3212403700</t>
    </r>
    <r>
      <rPr>
        <b/>
        <sz val="14"/>
        <color rgb="FFFF0000"/>
        <rFont val="Arial"/>
        <family val="2"/>
      </rPr>
      <t xml:space="preserve">
FURGONADA: </t>
    </r>
    <r>
      <rPr>
        <b/>
        <sz val="14"/>
        <color theme="1"/>
        <rFont val="Arial"/>
        <family val="2"/>
      </rPr>
      <t>CAMIONETA DEBE LLEGAR A LAS 5:30 AM A PLAZA DE LOS ARTESANOS, QUEDA DISPONIBLE. ENCARGADO DANIELA RATIVA 3505967621
ESCUELA DE LA BICI:  EL VEHÍCULO DE ESCUELA. SE ACALARA QUE DEBEN COMUNICARSE CON EL TALENTO HUMANO DE EL PROGRAMA DE ESCUELA DE LA BICICLETA SERGIO PRIETO CEL 3167160204, LO ANTERIOR PARA COORDINAR LOS PUNTOS Y LOS DESPLAZAMIENTOS. VEHICULO POR 15 HORAS</t>
    </r>
    <r>
      <rPr>
        <b/>
        <sz val="14"/>
        <color rgb="FFFF0000"/>
        <rFont val="Arial"/>
        <family val="2"/>
      </rPr>
      <t xml:space="preserve">
ATN: </t>
    </r>
    <r>
      <rPr>
        <b/>
        <sz val="14"/>
        <color theme="1"/>
        <rFont val="Arial"/>
        <family val="2"/>
      </rPr>
      <t>EL CAMIÓN DE ATN DEBE LLEGAR A PLAZA DE LOS ARTESANOS A LAS 7 AM, POSTERIORMENTE DRIGIRSE A LOS PUNTOS; CONTACTAR A JULIETTE ARROYO 3012802342, SERVICIO POR 15 HORAS.</t>
    </r>
    <r>
      <rPr>
        <b/>
        <sz val="14"/>
        <color rgb="FFFF0000"/>
        <rFont val="Arial"/>
        <family val="2"/>
      </rPr>
      <t xml:space="preserve">
</t>
    </r>
    <r>
      <rPr>
        <b/>
        <sz val="14"/>
        <color theme="1"/>
        <rFont val="Arial"/>
        <family val="2"/>
      </rPr>
      <t>NORTE 5: CARRERA 60 X CALLE 63
CENTRO 5: CALLE 26 X AV. BOYACA
SUR 3:</t>
    </r>
    <r>
      <rPr>
        <b/>
        <sz val="14"/>
        <color rgb="FFFF0000"/>
        <rFont val="Arial"/>
        <family val="2"/>
      </rPr>
      <t xml:space="preserve"> </t>
    </r>
    <r>
      <rPr>
        <b/>
        <sz val="14"/>
        <color theme="1"/>
        <rFont val="Arial"/>
        <family val="2"/>
      </rPr>
      <t>CALLE 39 SUR X CARRERA 51</t>
    </r>
    <r>
      <rPr>
        <b/>
        <sz val="14"/>
        <color rgb="FFFF0000"/>
        <rFont val="Arial"/>
        <family val="2"/>
      </rPr>
      <t xml:space="preserve">
</t>
    </r>
    <r>
      <rPr>
        <b/>
        <sz val="14"/>
        <color theme="1"/>
        <rFont val="Arial"/>
        <family val="2"/>
      </rPr>
      <t xml:space="preserve">EL CICLOPARQUEADERO DE LA CALLE 80 SE DEBE IR EN EL CAMIÓN DE DIVISORES Y DEBE DESCARGARSE EN LA AV BOYACA CON CALLE 80, POR FAVOR CORDINADOR DE LA ZONA NORTE ESTAR MUY PENDIENTE. 
</t>
    </r>
    <r>
      <rPr>
        <b/>
        <sz val="14"/>
        <color rgb="FFFF0000"/>
        <rFont val="Arial"/>
        <family val="2"/>
      </rPr>
      <t xml:space="preserve">
CICLOPASEO PONAL: </t>
    </r>
    <r>
      <rPr>
        <b/>
        <sz val="14"/>
        <color theme="1"/>
        <rFont val="Arial"/>
        <family val="2"/>
      </rPr>
      <t xml:space="preserve">DEBE LLEGAR A PLAZA DE ARTESANOS A LAS 8:30 AM, Y REALIZAR EL CARGUE DE LOS SIGUIENTE MODULOS 30 BICICLETAS Y 30 CASCOS. POSTERIORMENTE DIRIGIRSE A PARQUE RENACIMIENTO Y UNA VEZ ENTREGADO DESPLAZARSE A SIMÓN BOLIVAR ENTRE LAS 10:00 Y 11:00 AM. SERVICIO POR 9 HORAS. 
</t>
    </r>
    <r>
      <rPr>
        <b/>
        <sz val="14"/>
        <color rgb="FFFF0000"/>
        <rFont val="Arial"/>
        <family val="2"/>
      </rPr>
      <t xml:space="preserve">
DISPONIBLES: </t>
    </r>
    <r>
      <rPr>
        <b/>
        <sz val="14"/>
        <color theme="1"/>
        <rFont val="Arial"/>
        <family val="2"/>
      </rPr>
      <t xml:space="preserve">SE DEBE DEJAR DOS CAMIONES DE 25m2 CON 3 OPERARIOS LOS CUALES DEBEN REGRESAR A LA PLAZA DE LOS ARTESANOS A LAS 8:30 AM, ENCARGADO DANIELA RATIVA 3505967621 
</t>
    </r>
    <r>
      <rPr>
        <b/>
        <sz val="14"/>
        <color rgb="FFFF0000"/>
        <rFont val="Arial"/>
        <family val="2"/>
      </rPr>
      <t xml:space="preserve">
LUDICA Y PEDAGOGIA: </t>
    </r>
    <r>
      <rPr>
        <b/>
        <sz val="14"/>
        <color theme="1"/>
        <rFont val="Arial"/>
        <family val="2"/>
      </rPr>
      <t>LA CAMIONETA FURGONADA DEBE LLEGAR COMO DE COSTUMBRE 5:30 AM, CARGAR LOS ELEMENTOS DE LA ACTIVIDAD Y DIRIGIRSE A:
CALLE 116 X AVENIDA SUBA</t>
    </r>
    <r>
      <rPr>
        <b/>
        <sz val="14"/>
        <color rgb="FFFF0000"/>
        <rFont val="Arial"/>
        <family val="2"/>
      </rPr>
      <t xml:space="preserve">
</t>
    </r>
    <r>
      <rPr>
        <b/>
        <sz val="14"/>
        <color theme="1"/>
        <rFont val="Arial"/>
        <family val="2"/>
      </rPr>
      <t xml:space="preserve">DE ACUERDO A LAS POSIBLES MARCHAS QUE SE PUEDAN PRESENTAR CON LAS FUERZAS MILITARES, ES POSIBLE QUE DESAHBILITE ALGUNOS CORREDORES, ESTAR MUY PRESTOS PARA LA DESHABILITACIÓN.
DE ACUERDO CON LAS MÚLTIPLES SUSPENSIONES POR LA CARRERA TRAIL URBAN, SE SUSPENDERA TRAMOS DE LA CICLOVÍA DE LA SIGUIENTE MANERA: 
</t>
    </r>
    <r>
      <rPr>
        <b/>
        <sz val="14"/>
        <color rgb="FFFF0000"/>
        <rFont val="Arial"/>
        <family val="2"/>
      </rPr>
      <t xml:space="preserve">
</t>
    </r>
    <r>
      <rPr>
        <b/>
        <sz val="14"/>
        <color theme="1"/>
        <rFont val="Arial"/>
        <family val="2"/>
      </rPr>
      <t>C6Z1: VEHICULO SE ENCUENTRA SUSPENDIDO PARA ESTA JORNADA DE ACUERDO CON QUE LA CARRERA NO DESOCUPARA LA CALZADA ANTES DE LA 2:00 PM. 
C6Z2: DEBE DEJAR UNA VALLA DE CICLOVÍA SUSPENDIDA POR EVENTO EN LA CARRERA 7 CON DIGONAL 40. 
S3Z1: DEBE DEJAR UNA VALLA DE CICLOVÍA SUSPENDIDA POR EVENTO EN LA CARRERA 6 CON CALLE 17 SUR. 
SUSPENSIONES DE LA CARRERA: EL VEHICULO SE CITA A LA 5:30  EN PLAZA DE LOS ARTESANOS Y RECOJA LOS 10 MALETINES, 1 CINTA DE CERRAMIENTO, 10 REDUCTORES Y 6 VALLAS DE CERRAMIENTO, 4  VALLAS TIPO 3 DE CICLOVÍA SUSPENDIDA POR EVENTO, LAS CUALES DEBEN DESCARGARSE UNA (1) EN CARRERA 7 CON CALLE 26,  DOS (2) EN LA AV CIRCUNVALAR CON DIAGONAL 40 
FINALMENTE PARA ESTE FIN DE SEMANA SE CAMBIARÁ EL CUBICAJE DE LOS CAMIONES DE NORTE 1, MALETINES Y DIVISORES.</t>
    </r>
  </si>
  <si>
    <t xml:space="preserve">SUR </t>
  </si>
  <si>
    <t>2014-2021</t>
  </si>
  <si>
    <t>2014-2022</t>
  </si>
  <si>
    <t xml:space="preserve">IDRD </t>
  </si>
  <si>
    <t>CEF TUNAL</t>
  </si>
  <si>
    <r>
      <rPr>
        <b/>
        <sz val="16"/>
        <color rgb="FF000000"/>
        <rFont val="Calibri"/>
        <family val="2"/>
      </rPr>
      <t>MES MARZO RECREOVIA:</t>
    </r>
    <r>
      <rPr>
        <sz val="16"/>
        <color indexed="8"/>
        <rFont val="Calibri"/>
        <family val="2"/>
      </rPr>
      <t xml:space="preserve"> 
OPERARIOS 6 HORAS 188 - OPERARIOS 8 HORAS 244 - CAMIONES CON 4 OPERARIOS 9 HORAS 0 - CAMIONES  3 OPERARIOS 15 HORAS 10 -  CAMIONES CON 0 OPERARIOS 15 HORAS 2 CAMIONES 4 OPERARIOS 15 HORAS  4</t>
    </r>
  </si>
  <si>
    <t>MANZANAS DEL CUIDADO</t>
  </si>
  <si>
    <t>UDS (CALLE 63 X CRA 68)</t>
  </si>
  <si>
    <t>SERVICIO - JULIO</t>
  </si>
  <si>
    <t>ADICIÓN 08/06/2023</t>
  </si>
  <si>
    <t>CAYETANO CANIZALES - PALACIO DE LOS DEPORTES</t>
  </si>
  <si>
    <t>PLACIO DE LOS DEPORTE CAYETANO CANIZALES</t>
  </si>
  <si>
    <t xml:space="preserve">TRASLADO DE MATERIAL </t>
  </si>
  <si>
    <t xml:space="preserve">PARQUE EL TUNAL - </t>
  </si>
  <si>
    <t xml:space="preserve">PLAZA DE ARTESANOS -  </t>
  </si>
  <si>
    <t xml:space="preserve">UDS - </t>
  </si>
  <si>
    <t xml:space="preserve">CEF SAN CRISTOBAL - </t>
  </si>
  <si>
    <t xml:space="preserve">UDS -  </t>
  </si>
  <si>
    <t xml:space="preserve">PARQUES VARIOS - </t>
  </si>
  <si>
    <t xml:space="preserve">PLAZA DE ARTESANOS - </t>
  </si>
  <si>
    <t xml:space="preserve">TIMIZA  EQUIPO BOGOTA - </t>
  </si>
  <si>
    <t>ESTADIO DE TECHO -</t>
  </si>
  <si>
    <t xml:space="preserve">TERCER MILENIO - </t>
  </si>
  <si>
    <t xml:space="preserve">CORSS - </t>
  </si>
  <si>
    <t xml:space="preserve">IDRD - </t>
  </si>
  <si>
    <t xml:space="preserve">IDRD -  </t>
  </si>
  <si>
    <t xml:space="preserve">SIMON BOLIVAR </t>
  </si>
  <si>
    <t xml:space="preserve">IDRD - FLORIDA - </t>
  </si>
  <si>
    <t>IDRD -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</si>
</sst>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 #,##0.00_-;\-&quot;$&quot;\ * #,##0.00_-;_-&quot;$&quot;\ * &quot;-&quot;??_-;_-@_-"/>
    <numFmt numFmtId="164" formatCode="_-&quot;$&quot;* #,##0_-;\-&quot;$&quot;* #,##0_-;_-&quot;$&quot;* &quot;-&quot;_-;_-@_-"/>
    <numFmt numFmtId="165" formatCode="_-&quot;$&quot;* #,##0.00_-;\-&quot;$&quot;* #,##0.00_-;_-&quot;$&quot;* &quot;-&quot;??_-;_-@_-"/>
    <numFmt numFmtId="166" formatCode="[$$-240A]#,##0.00;[Red]\([$$-240A]#,##0.00\)"/>
    <numFmt numFmtId="167" formatCode="[$$-240A]\ #,##0.00_);[Red]\([$$-240A]\ #,##0.00\)"/>
    <numFmt numFmtId="168" formatCode="[$$-240A]\ #,##0.00;[Red][$$-240A]\ #,##0.00"/>
    <numFmt numFmtId="169" formatCode="&quot;$&quot;\ #,##0.00"/>
    <numFmt numFmtId="170" formatCode="[$$-240A]\ #,##0_);[Red]\([$$-240A]\ #,##0\)"/>
    <numFmt numFmtId="171" formatCode="dddd&quot;, &quot;dd&quot; de &quot;mmmm&quot; de &quot;yyyy;@"/>
    <numFmt numFmtId="172" formatCode="h:mm:ss&quot; a.&quot;m&quot;./p.&quot;m\.;@"/>
    <numFmt numFmtId="173" formatCode="[$-F800]dddd\,\ mmmm\ dd\,\ yyyy"/>
    <numFmt numFmtId="174" formatCode="#,##0.00&quot;    &quot;;\-#,##0.00&quot;    &quot;;\-#&quot;    &quot;;@\ "/>
    <numFmt numFmtId="175" formatCode="_(&quot;$&quot;\ * #,##0.00_);_(&quot;$&quot;\ * \(#,##0.00\);_(&quot;$&quot;\ * &quot;-&quot;??_);_(@_)"/>
    <numFmt numFmtId="176" formatCode="#,##0&quot;    &quot;;\-#,##0&quot;    &quot;;\-#&quot;    &quot;;@\ "/>
    <numFmt numFmtId="177" formatCode="&quot;$&quot;\ #,##0"/>
    <numFmt numFmtId="178" formatCode="0.0"/>
  </numFmts>
  <fonts count="75" x14ac:knownFonts="1">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b/>
      <sz val="12"/>
      <color theme="1"/>
      <name val="Calibri"/>
      <family val="2"/>
      <scheme val="minor"/>
    </font>
    <font>
      <sz val="10"/>
      <name val="Arial"/>
      <family val="2"/>
    </font>
    <font>
      <b/>
      <sz val="12"/>
      <color indexed="8"/>
      <name val="Arial"/>
      <family val="2"/>
    </font>
    <font>
      <sz val="12"/>
      <name val="Arial"/>
      <family val="2"/>
    </font>
    <font>
      <b/>
      <sz val="9"/>
      <color indexed="8"/>
      <name val="Arial"/>
      <family val="2"/>
    </font>
    <font>
      <sz val="12"/>
      <color indexed="8"/>
      <name val="Arial"/>
      <family val="2"/>
    </font>
    <font>
      <b/>
      <sz val="12"/>
      <name val="Arial"/>
      <family val="2"/>
    </font>
    <font>
      <sz val="12"/>
      <color rgb="FF000000"/>
      <name val="Arial"/>
      <family val="2"/>
    </font>
    <font>
      <b/>
      <sz val="30"/>
      <name val="Arial"/>
      <family val="2"/>
    </font>
    <font>
      <b/>
      <sz val="14"/>
      <color theme="1"/>
      <name val="Arial"/>
      <family val="2"/>
    </font>
    <font>
      <b/>
      <sz val="14"/>
      <color rgb="FFFF0000"/>
      <name val="Arial"/>
      <family val="2"/>
    </font>
    <font>
      <b/>
      <sz val="14"/>
      <color indexed="53"/>
      <name val="Arial"/>
      <family val="2"/>
    </font>
    <font>
      <sz val="14"/>
      <color rgb="FF00000A"/>
      <name val="Calibri"/>
      <family val="2"/>
    </font>
    <font>
      <sz val="13.5"/>
      <color rgb="FF00000A"/>
      <name val="Calibri"/>
      <family val="2"/>
    </font>
    <font>
      <sz val="10"/>
      <color rgb="FF000000"/>
      <name val="Arial"/>
      <family val="2"/>
    </font>
    <font>
      <sz val="10"/>
      <color theme="0"/>
      <name val="Arial"/>
      <family val="2"/>
    </font>
    <font>
      <b/>
      <sz val="12"/>
      <color rgb="FF000000"/>
      <name val="Arial"/>
      <family val="2"/>
    </font>
    <font>
      <sz val="11"/>
      <color theme="1"/>
      <name val="Calibri"/>
      <family val="2"/>
      <scheme val="minor"/>
    </font>
    <font>
      <b/>
      <i/>
      <sz val="48"/>
      <color indexed="8"/>
      <name val="Calibri"/>
      <family val="2"/>
    </font>
    <font>
      <b/>
      <sz val="24"/>
      <color indexed="8"/>
      <name val="Calibri"/>
      <family val="2"/>
    </font>
    <font>
      <b/>
      <sz val="24"/>
      <color rgb="FF000000"/>
      <name val="Calibri"/>
      <family val="2"/>
    </font>
    <font>
      <b/>
      <sz val="12"/>
      <color indexed="8"/>
      <name val="Calibri"/>
      <family val="2"/>
    </font>
    <font>
      <b/>
      <sz val="20"/>
      <color indexed="8"/>
      <name val="Calibri"/>
      <family val="2"/>
    </font>
    <font>
      <sz val="14"/>
      <color indexed="8"/>
      <name val="Calibri"/>
      <family val="2"/>
    </font>
    <font>
      <sz val="15"/>
      <color indexed="8"/>
      <name val="Calibri"/>
      <family val="2"/>
    </font>
    <font>
      <sz val="16"/>
      <color indexed="8"/>
      <name val="Calibri"/>
      <family val="2"/>
    </font>
    <font>
      <b/>
      <sz val="16"/>
      <color rgb="FF000000"/>
      <name val="Calibri"/>
      <family val="2"/>
    </font>
    <font>
      <sz val="14"/>
      <name val="Arial"/>
      <family val="2"/>
    </font>
    <font>
      <sz val="12"/>
      <color indexed="8"/>
      <name val="Calibri"/>
      <family val="2"/>
    </font>
    <font>
      <sz val="18"/>
      <name val="Arial"/>
      <family val="2"/>
    </font>
    <font>
      <b/>
      <sz val="16"/>
      <color indexed="8"/>
      <name val="Calibri"/>
      <family val="2"/>
    </font>
    <font>
      <b/>
      <sz val="14"/>
      <color indexed="12"/>
      <name val="Calibri"/>
      <family val="2"/>
    </font>
    <font>
      <b/>
      <sz val="14"/>
      <color indexed="12"/>
      <name val="Arial"/>
      <family val="2"/>
    </font>
    <font>
      <sz val="20"/>
      <name val="Arial"/>
      <family val="2"/>
    </font>
    <font>
      <sz val="10"/>
      <color indexed="8"/>
      <name val="Arial"/>
      <family val="2"/>
    </font>
    <font>
      <sz val="24"/>
      <name val="Arial"/>
      <family val="2"/>
    </font>
    <font>
      <sz val="26"/>
      <name val="Arial"/>
      <family val="2"/>
    </font>
    <font>
      <sz val="16"/>
      <color rgb="FF000000"/>
      <name val="Calibri"/>
      <family val="2"/>
      <scheme val="minor"/>
    </font>
    <font>
      <sz val="11"/>
      <color indexed="8"/>
      <name val="Calibri"/>
      <family val="2"/>
    </font>
    <font>
      <b/>
      <sz val="14"/>
      <color indexed="8"/>
      <name val="Calibri"/>
      <family val="2"/>
    </font>
    <font>
      <b/>
      <sz val="18"/>
      <color indexed="8"/>
      <name val="Calibri"/>
      <family val="2"/>
    </font>
    <font>
      <b/>
      <sz val="22"/>
      <color indexed="8"/>
      <name val="Calibri"/>
      <family val="2"/>
    </font>
    <font>
      <b/>
      <sz val="66"/>
      <color indexed="8"/>
      <name val="Calibri"/>
      <family val="2"/>
    </font>
    <font>
      <b/>
      <sz val="20"/>
      <name val="Arial"/>
      <family val="2"/>
    </font>
    <font>
      <sz val="15"/>
      <name val="Arial"/>
      <family val="2"/>
    </font>
    <font>
      <b/>
      <sz val="15"/>
      <name val="Arial"/>
      <family val="2"/>
    </font>
    <font>
      <b/>
      <sz val="13"/>
      <name val="Arial"/>
      <family val="2"/>
    </font>
    <font>
      <sz val="22"/>
      <name val="Arial"/>
      <family val="2"/>
    </font>
    <font>
      <b/>
      <sz val="15"/>
      <color theme="0"/>
      <name val="Arial"/>
      <family val="2"/>
    </font>
    <font>
      <b/>
      <sz val="12"/>
      <color theme="0"/>
      <name val="Arial"/>
      <family val="2"/>
    </font>
    <font>
      <sz val="11"/>
      <name val="Arial"/>
      <family val="2"/>
    </font>
    <font>
      <sz val="8"/>
      <name val="Arial"/>
      <family val="2"/>
    </font>
    <font>
      <b/>
      <sz val="24"/>
      <name val="Arial"/>
      <family val="2"/>
    </font>
    <font>
      <b/>
      <sz val="48"/>
      <color indexed="8"/>
      <name val="Calibri"/>
      <family val="2"/>
    </font>
    <font>
      <b/>
      <sz val="36"/>
      <color indexed="8"/>
      <name val="Calibri"/>
      <family val="2"/>
    </font>
    <font>
      <sz val="24"/>
      <color indexed="8"/>
      <name val="Calibri"/>
      <family val="2"/>
    </font>
    <font>
      <sz val="15"/>
      <color indexed="8"/>
      <name val="Arial"/>
      <family val="2"/>
    </font>
    <font>
      <b/>
      <sz val="18"/>
      <name val="Arial"/>
      <family val="2"/>
    </font>
    <font>
      <sz val="16"/>
      <name val="Arial"/>
      <family val="2"/>
    </font>
    <font>
      <b/>
      <sz val="48"/>
      <color theme="0"/>
      <name val="Calibri"/>
      <family val="2"/>
    </font>
    <font>
      <b/>
      <sz val="20"/>
      <color theme="0"/>
      <name val="Calibri"/>
      <family val="2"/>
    </font>
    <font>
      <b/>
      <sz val="11"/>
      <color theme="1"/>
      <name val="Arial"/>
      <family val="2"/>
    </font>
    <font>
      <sz val="11"/>
      <color theme="1"/>
      <name val="Arial"/>
      <family val="2"/>
    </font>
    <font>
      <sz val="11"/>
      <color theme="0"/>
      <name val="Arial"/>
      <family val="2"/>
    </font>
    <font>
      <sz val="11"/>
      <color theme="0"/>
      <name val="Calibri"/>
      <family val="2"/>
      <scheme val="minor"/>
    </font>
    <font>
      <sz val="8"/>
      <name val="Calibri"/>
      <family val="2"/>
      <scheme val="minor"/>
    </font>
    <font>
      <b/>
      <sz val="15"/>
      <color rgb="FFFFFFFF"/>
      <name val="Arial"/>
      <family val="2"/>
    </font>
    <font>
      <b/>
      <sz val="11"/>
      <color theme="1"/>
      <name val="Calibri"/>
      <family val="2"/>
      <scheme val="minor"/>
    </font>
    <font>
      <b/>
      <sz val="26"/>
      <color theme="1"/>
      <name val="Calibri"/>
      <family val="2"/>
      <scheme val="minor"/>
    </font>
  </fonts>
  <fills count="46">
    <fill>
      <patternFill patternType="none"/>
    </fill>
    <fill>
      <patternFill patternType="gray125"/>
    </fill>
    <fill>
      <patternFill patternType="solid">
        <fgColor rgb="FFFFC000"/>
        <bgColor indexed="22"/>
      </patternFill>
    </fill>
    <fill>
      <patternFill patternType="solid">
        <fgColor indexed="31"/>
        <bgColor indexed="22"/>
      </patternFill>
    </fill>
    <fill>
      <patternFill patternType="solid">
        <fgColor theme="0"/>
        <bgColor indexed="22"/>
      </patternFill>
    </fill>
    <fill>
      <patternFill patternType="solid">
        <fgColor theme="0"/>
        <bgColor indexed="26"/>
      </patternFill>
    </fill>
    <fill>
      <patternFill patternType="solid">
        <fgColor indexed="9"/>
        <bgColor indexed="26"/>
      </patternFill>
    </fill>
    <fill>
      <patternFill patternType="solid">
        <fgColor theme="9" tint="0.59999389629810485"/>
        <bgColor indexed="64"/>
      </patternFill>
    </fill>
    <fill>
      <patternFill patternType="solid">
        <fgColor theme="0"/>
        <bgColor indexed="64"/>
      </patternFill>
    </fill>
    <fill>
      <patternFill patternType="solid">
        <fgColor rgb="FFFFFF00"/>
        <bgColor indexed="26"/>
      </patternFill>
    </fill>
    <fill>
      <patternFill patternType="solid">
        <fgColor rgb="FFFFFFFF"/>
        <bgColor rgb="FFFFFFCC"/>
      </patternFill>
    </fill>
    <fill>
      <patternFill patternType="solid">
        <fgColor theme="9" tint="0.39997558519241921"/>
        <bgColor indexed="22"/>
      </patternFill>
    </fill>
    <fill>
      <patternFill patternType="solid">
        <fgColor rgb="FF00B0F0"/>
        <bgColor indexed="64"/>
      </patternFill>
    </fill>
    <fill>
      <patternFill patternType="solid">
        <fgColor rgb="FFFFFF00"/>
        <bgColor indexed="64"/>
      </patternFill>
    </fill>
    <fill>
      <patternFill patternType="solid">
        <fgColor rgb="FF00B0F0"/>
        <bgColor indexed="22"/>
      </patternFill>
    </fill>
    <fill>
      <patternFill patternType="solid">
        <fgColor indexed="43"/>
        <bgColor indexed="13"/>
      </patternFill>
    </fill>
    <fill>
      <patternFill patternType="solid">
        <fgColor rgb="FFFF0000"/>
        <bgColor indexed="64"/>
      </patternFill>
    </fill>
    <fill>
      <patternFill patternType="solid">
        <fgColor rgb="FFFFFF00"/>
        <bgColor indexed="10"/>
      </patternFill>
    </fill>
    <fill>
      <patternFill patternType="solid">
        <fgColor theme="0"/>
        <bgColor indexed="10"/>
      </patternFill>
    </fill>
    <fill>
      <patternFill patternType="solid">
        <fgColor theme="7" tint="0.59999389629810485"/>
        <bgColor indexed="64"/>
      </patternFill>
    </fill>
    <fill>
      <patternFill patternType="solid">
        <fgColor theme="4" tint="0.59999389629810485"/>
        <bgColor indexed="64"/>
      </patternFill>
    </fill>
    <fill>
      <patternFill patternType="solid">
        <fgColor rgb="FFFFFFFF"/>
        <bgColor rgb="FF000000"/>
      </patternFill>
    </fill>
    <fill>
      <patternFill patternType="solid">
        <fgColor theme="9" tint="0.39997558519241921"/>
        <bgColor indexed="64"/>
      </patternFill>
    </fill>
    <fill>
      <patternFill patternType="solid">
        <fgColor indexed="13"/>
        <bgColor indexed="34"/>
      </patternFill>
    </fill>
    <fill>
      <patternFill patternType="solid">
        <fgColor rgb="FF92D050"/>
        <bgColor indexed="34"/>
      </patternFill>
    </fill>
    <fill>
      <patternFill patternType="solid">
        <fgColor indexed="8"/>
        <bgColor indexed="58"/>
      </patternFill>
    </fill>
    <fill>
      <patternFill patternType="solid">
        <fgColor indexed="22"/>
        <bgColor indexed="31"/>
      </patternFill>
    </fill>
    <fill>
      <patternFill patternType="solid">
        <fgColor rgb="FFFFFF00"/>
        <bgColor indexed="31"/>
      </patternFill>
    </fill>
    <fill>
      <patternFill patternType="solid">
        <fgColor rgb="FFFF66FF"/>
        <bgColor indexed="64"/>
      </patternFill>
    </fill>
    <fill>
      <patternFill patternType="solid">
        <fgColor theme="0"/>
        <bgColor indexed="31"/>
      </patternFill>
    </fill>
    <fill>
      <patternFill patternType="solid">
        <fgColor rgb="FFC0C0C0"/>
        <bgColor rgb="FFCCCCFF"/>
      </patternFill>
    </fill>
    <fill>
      <patternFill patternType="solid">
        <fgColor theme="1"/>
        <bgColor indexed="31"/>
      </patternFill>
    </fill>
    <fill>
      <patternFill patternType="solid">
        <fgColor theme="1"/>
        <bgColor indexed="64"/>
      </patternFill>
    </fill>
    <fill>
      <patternFill patternType="solid">
        <fgColor indexed="44"/>
        <bgColor indexed="31"/>
      </patternFill>
    </fill>
    <fill>
      <patternFill patternType="solid">
        <fgColor indexed="40"/>
        <bgColor indexed="49"/>
      </patternFill>
    </fill>
    <fill>
      <patternFill patternType="solid">
        <fgColor indexed="51"/>
        <bgColor indexed="13"/>
      </patternFill>
    </fill>
    <fill>
      <patternFill patternType="solid">
        <fgColor indexed="55"/>
        <bgColor indexed="23"/>
      </patternFill>
    </fill>
    <fill>
      <patternFill patternType="solid">
        <fgColor rgb="FF7030A0"/>
        <bgColor indexed="64"/>
      </patternFill>
    </fill>
    <fill>
      <patternFill patternType="solid">
        <fgColor rgb="FF7030A0"/>
        <bgColor indexed="26"/>
      </patternFill>
    </fill>
    <fill>
      <patternFill patternType="solid">
        <fgColor theme="8" tint="0.59999389629810485"/>
        <bgColor indexed="26"/>
      </patternFill>
    </fill>
    <fill>
      <patternFill patternType="solid">
        <fgColor theme="0"/>
        <bgColor indexed="23"/>
      </patternFill>
    </fill>
    <fill>
      <patternFill patternType="solid">
        <fgColor rgb="FFFF0000"/>
        <bgColor indexed="23"/>
      </patternFill>
    </fill>
    <fill>
      <patternFill patternType="solid">
        <fgColor theme="4" tint="0.59999389629810485"/>
        <bgColor indexed="26"/>
      </patternFill>
    </fill>
    <fill>
      <patternFill patternType="solid">
        <fgColor rgb="FFFF0000"/>
        <bgColor indexed="26"/>
      </patternFill>
    </fill>
    <fill>
      <patternFill patternType="solid">
        <fgColor theme="4" tint="0.39997558519241921"/>
        <bgColor indexed="26"/>
      </patternFill>
    </fill>
    <fill>
      <patternFill patternType="solid">
        <fgColor rgb="FF7030A0"/>
        <bgColor rgb="FF000000"/>
      </patternFill>
    </fill>
  </fills>
  <borders count="63">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8"/>
      </left>
      <right style="thin">
        <color indexed="8"/>
      </right>
      <top/>
      <bottom style="thin">
        <color indexed="8"/>
      </bottom>
      <diagonal/>
    </border>
    <border>
      <left/>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hair">
        <color indexed="8"/>
      </left>
      <right style="hair">
        <color indexed="8"/>
      </right>
      <top/>
      <bottom style="hair">
        <color indexed="8"/>
      </bottom>
      <diagonal/>
    </border>
    <border>
      <left style="hair">
        <color indexed="8"/>
      </left>
      <right style="hair">
        <color indexed="8"/>
      </right>
      <top style="hair">
        <color indexed="8"/>
      </top>
      <bottom style="hair">
        <color indexed="8"/>
      </bottom>
      <diagonal/>
    </border>
    <border>
      <left style="thin">
        <color indexed="8"/>
      </left>
      <right/>
      <top style="thin">
        <color indexed="8"/>
      </top>
      <bottom/>
      <diagonal/>
    </border>
    <border>
      <left style="thin">
        <color indexed="8"/>
      </left>
      <right style="thin">
        <color indexed="8"/>
      </right>
      <top/>
      <bottom style="thin">
        <color indexed="64"/>
      </bottom>
      <diagonal/>
    </border>
    <border>
      <left style="hair">
        <color indexed="8"/>
      </left>
      <right style="hair">
        <color indexed="8"/>
      </right>
      <top style="hair">
        <color indexed="8"/>
      </top>
      <bottom/>
      <diagonal/>
    </border>
    <border>
      <left style="hair">
        <color indexed="8"/>
      </left>
      <right/>
      <top style="hair">
        <color indexed="8"/>
      </top>
      <bottom style="hair">
        <color indexed="8"/>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hair">
        <color indexed="8"/>
      </left>
      <right/>
      <top/>
      <bottom/>
      <diagonal/>
    </border>
    <border>
      <left/>
      <right style="hair">
        <color indexed="8"/>
      </right>
      <top style="hair">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thick">
        <color indexed="8"/>
      </top>
      <bottom style="medium">
        <color indexed="8"/>
      </bottom>
      <diagonal/>
    </border>
    <border>
      <left style="thin">
        <color indexed="8"/>
      </left>
      <right style="thin">
        <color indexed="8"/>
      </right>
      <top style="thick">
        <color indexed="8"/>
      </top>
      <bottom style="medium">
        <color indexed="8"/>
      </bottom>
      <diagonal/>
    </border>
    <border>
      <left style="thin">
        <color indexed="8"/>
      </left>
      <right/>
      <top style="thick">
        <color indexed="8"/>
      </top>
      <bottom style="medium">
        <color indexed="8"/>
      </bottom>
      <diagonal/>
    </border>
    <border>
      <left style="medium">
        <color indexed="8"/>
      </left>
      <right style="medium">
        <color indexed="8"/>
      </right>
      <top style="thick">
        <color indexed="8"/>
      </top>
      <bottom style="medium">
        <color indexed="8"/>
      </bottom>
      <diagonal/>
    </border>
    <border>
      <left style="thick">
        <color indexed="8"/>
      </left>
      <right style="thick">
        <color indexed="8"/>
      </right>
      <top style="thick">
        <color indexed="8"/>
      </top>
      <bottom style="thick">
        <color indexed="8"/>
      </bottom>
      <diagonal/>
    </border>
    <border>
      <left style="thick">
        <color indexed="8"/>
      </left>
      <right/>
      <top style="thick">
        <color indexed="8"/>
      </top>
      <bottom style="thick">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ck">
        <color rgb="FF000000"/>
      </left>
      <right style="thick">
        <color rgb="FF000000"/>
      </right>
      <top style="thick">
        <color rgb="FF000000"/>
      </top>
      <bottom style="thick">
        <color rgb="FF000000"/>
      </bottom>
      <diagonal/>
    </border>
    <border>
      <left/>
      <right/>
      <top style="thick">
        <color indexed="8"/>
      </top>
      <bottom style="thick">
        <color indexed="8"/>
      </bottom>
      <diagonal/>
    </border>
    <border>
      <left/>
      <right style="thin">
        <color indexed="64"/>
      </right>
      <top style="thick">
        <color indexed="8"/>
      </top>
      <bottom style="thick">
        <color indexed="8"/>
      </bottom>
      <diagonal/>
    </border>
    <border>
      <left style="thick">
        <color indexed="8"/>
      </left>
      <right style="thick">
        <color indexed="8"/>
      </right>
      <top style="thick">
        <color indexed="8"/>
      </top>
      <bottom/>
      <diagonal/>
    </border>
    <border>
      <left style="medium">
        <color indexed="64"/>
      </left>
      <right style="thick">
        <color indexed="8"/>
      </right>
      <top style="medium">
        <color indexed="64"/>
      </top>
      <bottom style="medium">
        <color indexed="64"/>
      </bottom>
      <diagonal/>
    </border>
    <border>
      <left style="thick">
        <color indexed="8"/>
      </left>
      <right style="thick">
        <color indexed="8"/>
      </right>
      <top style="medium">
        <color indexed="64"/>
      </top>
      <bottom style="medium">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8"/>
      </left>
      <right/>
      <top/>
      <bottom style="medium">
        <color indexed="64"/>
      </bottom>
      <diagonal/>
    </border>
    <border>
      <left/>
      <right/>
      <top/>
      <bottom style="medium">
        <color indexed="64"/>
      </bottom>
      <diagonal/>
    </border>
    <border>
      <left style="medium">
        <color indexed="64"/>
      </left>
      <right style="thick">
        <color indexed="8"/>
      </right>
      <top style="medium">
        <color indexed="64"/>
      </top>
      <bottom/>
      <diagonal/>
    </border>
    <border>
      <left style="thick">
        <color indexed="8"/>
      </left>
      <right style="thick">
        <color indexed="8"/>
      </right>
      <top style="medium">
        <color indexed="64"/>
      </top>
      <bottom/>
      <diagonal/>
    </border>
    <border>
      <left style="thick">
        <color indexed="8"/>
      </left>
      <right style="medium">
        <color indexed="64"/>
      </right>
      <top style="medium">
        <color indexed="64"/>
      </top>
      <bottom/>
      <diagonal/>
    </border>
    <border>
      <left style="thick">
        <color indexed="8"/>
      </left>
      <right style="thick">
        <color indexed="8"/>
      </right>
      <top/>
      <bottom style="thick">
        <color indexed="8"/>
      </bottom>
      <diagonal/>
    </border>
    <border>
      <left style="thick">
        <color indexed="8"/>
      </left>
      <right/>
      <top/>
      <bottom style="thick">
        <color indexed="8"/>
      </bottom>
      <diagonal/>
    </border>
    <border>
      <left/>
      <right style="thin">
        <color indexed="64"/>
      </right>
      <top/>
      <bottom style="thick">
        <color indexed="8"/>
      </bottom>
      <diagonal/>
    </border>
    <border>
      <left/>
      <right/>
      <top style="medium">
        <color indexed="8"/>
      </top>
      <bottom/>
      <diagonal/>
    </border>
    <border>
      <left style="thin">
        <color indexed="64"/>
      </left>
      <right/>
      <top/>
      <bottom/>
      <diagonal/>
    </border>
    <border>
      <left style="thin">
        <color indexed="8"/>
      </left>
      <right style="thin">
        <color indexed="8"/>
      </right>
      <top/>
      <bottom/>
      <diagonal/>
    </border>
  </borders>
  <cellStyleXfs count="6">
    <xf numFmtId="0" fontId="0" fillId="0" borderId="0"/>
    <xf numFmtId="0" fontId="7" fillId="0" borderId="0"/>
    <xf numFmtId="164" fontId="23" fillId="0" borderId="0" applyFont="0" applyFill="0" applyBorder="0" applyAlignment="0" applyProtection="0"/>
    <xf numFmtId="165" fontId="23" fillId="0" borderId="0" applyFont="0" applyFill="0" applyBorder="0" applyAlignment="0" applyProtection="0"/>
    <xf numFmtId="164" fontId="23" fillId="0" borderId="0" applyFont="0" applyFill="0" applyBorder="0" applyAlignment="0" applyProtection="0"/>
    <xf numFmtId="174" fontId="44" fillId="0" borderId="0" applyFill="0" applyBorder="0" applyAlignment="0" applyProtection="0"/>
  </cellStyleXfs>
  <cellXfs count="426">
    <xf numFmtId="0" fontId="0" fillId="0" borderId="0" xfId="0"/>
    <xf numFmtId="0" fontId="8" fillId="2" borderId="1" xfId="1" applyFont="1" applyFill="1" applyBorder="1" applyAlignment="1">
      <alignment horizontal="center" vertical="center"/>
    </xf>
    <xf numFmtId="0" fontId="9" fillId="0" borderId="0" xfId="1" applyFont="1"/>
    <xf numFmtId="0" fontId="7" fillId="0" borderId="0" xfId="1"/>
    <xf numFmtId="0" fontId="10" fillId="4" borderId="0" xfId="1" applyFont="1" applyFill="1" applyAlignment="1">
      <alignment horizontal="center" vertical="center"/>
    </xf>
    <xf numFmtId="0" fontId="8" fillId="2" borderId="1" xfId="1" applyFont="1" applyFill="1" applyBorder="1" applyAlignment="1">
      <alignment horizontal="center" vertical="center" wrapText="1"/>
    </xf>
    <xf numFmtId="0" fontId="8" fillId="2" borderId="5" xfId="1" applyFont="1" applyFill="1" applyBorder="1" applyAlignment="1">
      <alignment horizontal="center" vertical="center" wrapText="1"/>
    </xf>
    <xf numFmtId="0" fontId="8" fillId="3" borderId="6" xfId="1" applyFont="1" applyFill="1" applyBorder="1" applyAlignment="1">
      <alignment horizontal="center" vertical="center"/>
    </xf>
    <xf numFmtId="0" fontId="8" fillId="3" borderId="6" xfId="1" applyFont="1" applyFill="1" applyBorder="1" applyAlignment="1">
      <alignment horizontal="center" vertical="center" wrapText="1"/>
    </xf>
    <xf numFmtId="0" fontId="10" fillId="4" borderId="0" xfId="1" applyFont="1" applyFill="1" applyAlignment="1">
      <alignment horizontal="center" vertical="center" wrapText="1"/>
    </xf>
    <xf numFmtId="0" fontId="8" fillId="5" borderId="6" xfId="0" applyFont="1" applyFill="1" applyBorder="1" applyAlignment="1">
      <alignment horizontal="center" vertical="center"/>
    </xf>
    <xf numFmtId="1" fontId="11" fillId="6" borderId="5" xfId="0" applyNumberFormat="1" applyFont="1" applyFill="1" applyBorder="1" applyAlignment="1" applyProtection="1">
      <alignment horizontal="center" vertical="center"/>
      <protection locked="0" hidden="1"/>
    </xf>
    <xf numFmtId="0" fontId="11" fillId="6" borderId="5"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8" xfId="0" applyFont="1" applyFill="1" applyBorder="1" applyAlignment="1">
      <alignment horizontal="center" vertical="center"/>
    </xf>
    <xf numFmtId="0" fontId="12" fillId="7" borderId="8" xfId="1" applyFont="1" applyFill="1" applyBorder="1" applyAlignment="1">
      <alignment horizontal="center"/>
    </xf>
    <xf numFmtId="0" fontId="11" fillId="6" borderId="8" xfId="0" applyFont="1" applyFill="1" applyBorder="1" applyAlignment="1" applyProtection="1">
      <alignment horizontal="center" vertical="center"/>
      <protection locked="0" hidden="1"/>
    </xf>
    <xf numFmtId="0" fontId="11" fillId="8" borderId="8" xfId="0" applyFont="1" applyFill="1" applyBorder="1" applyAlignment="1">
      <alignment horizontal="center" vertical="center"/>
    </xf>
    <xf numFmtId="0" fontId="11" fillId="6" borderId="8" xfId="0" applyFont="1" applyFill="1" applyBorder="1" applyAlignment="1">
      <alignment horizontal="center" vertical="center"/>
    </xf>
    <xf numFmtId="166" fontId="11" fillId="5" borderId="5" xfId="1" applyNumberFormat="1" applyFont="1" applyFill="1" applyBorder="1" applyAlignment="1">
      <alignment horizontal="center" vertical="center"/>
    </xf>
    <xf numFmtId="0" fontId="9" fillId="0" borderId="8" xfId="1" applyFont="1" applyBorder="1" applyAlignment="1">
      <alignment horizontal="center" vertical="center"/>
    </xf>
    <xf numFmtId="0" fontId="5" fillId="0" borderId="8" xfId="0" applyFont="1" applyBorder="1" applyAlignment="1">
      <alignment horizontal="center" vertical="center"/>
    </xf>
    <xf numFmtId="0" fontId="11" fillId="6" borderId="4" xfId="0" applyFont="1" applyFill="1" applyBorder="1" applyAlignment="1">
      <alignment horizontal="center" vertical="center"/>
    </xf>
    <xf numFmtId="0" fontId="7" fillId="8" borderId="0" xfId="1" applyFill="1"/>
    <xf numFmtId="0" fontId="7" fillId="8" borderId="0" xfId="1" applyFill="1" applyAlignment="1">
      <alignment horizontal="center" vertical="center"/>
    </xf>
    <xf numFmtId="0" fontId="11" fillId="5" borderId="0" xfId="1" applyFont="1" applyFill="1" applyAlignment="1">
      <alignment horizontal="center" vertical="center"/>
    </xf>
    <xf numFmtId="166" fontId="11" fillId="5" borderId="0" xfId="1" applyNumberFormat="1" applyFont="1" applyFill="1" applyAlignment="1">
      <alignment horizontal="center" vertical="center"/>
    </xf>
    <xf numFmtId="0" fontId="12" fillId="7" borderId="7" xfId="1" applyFont="1" applyFill="1" applyBorder="1" applyAlignment="1">
      <alignment horizontal="center"/>
    </xf>
    <xf numFmtId="0" fontId="5" fillId="0" borderId="7" xfId="0" applyFont="1" applyBorder="1"/>
    <xf numFmtId="0" fontId="5" fillId="0" borderId="7" xfId="0" applyFont="1" applyBorder="1" applyAlignment="1">
      <alignment horizontal="center" vertical="center"/>
    </xf>
    <xf numFmtId="166" fontId="11" fillId="6" borderId="5" xfId="1" applyNumberFormat="1" applyFont="1" applyFill="1" applyBorder="1" applyAlignment="1">
      <alignment horizontal="center" vertical="center"/>
    </xf>
    <xf numFmtId="0" fontId="5" fillId="0" borderId="8" xfId="0" applyFont="1" applyBorder="1"/>
    <xf numFmtId="166" fontId="11" fillId="6" borderId="8" xfId="1" applyNumberFormat="1" applyFont="1" applyFill="1" applyBorder="1" applyAlignment="1">
      <alignment horizontal="center" vertical="center"/>
    </xf>
    <xf numFmtId="0" fontId="8" fillId="8" borderId="8" xfId="0" applyFont="1" applyFill="1" applyBorder="1" applyAlignment="1">
      <alignment horizontal="center" vertical="center"/>
    </xf>
    <xf numFmtId="0" fontId="12" fillId="8" borderId="8" xfId="1" applyFont="1" applyFill="1" applyBorder="1" applyAlignment="1">
      <alignment horizontal="center"/>
    </xf>
    <xf numFmtId="0" fontId="11" fillId="5" borderId="8" xfId="0" applyFont="1" applyFill="1" applyBorder="1" applyAlignment="1">
      <alignment horizontal="center" vertical="center"/>
    </xf>
    <xf numFmtId="166" fontId="11" fillId="5" borderId="9" xfId="1" applyNumberFormat="1" applyFont="1" applyFill="1" applyBorder="1" applyAlignment="1">
      <alignment horizontal="center" vertical="center"/>
    </xf>
    <xf numFmtId="0" fontId="12" fillId="8" borderId="0" xfId="1" applyFont="1" applyFill="1" applyAlignment="1">
      <alignment horizontal="center"/>
    </xf>
    <xf numFmtId="0" fontId="5" fillId="0" borderId="0" xfId="0" applyFont="1"/>
    <xf numFmtId="0" fontId="11" fillId="6" borderId="0" xfId="0" applyFont="1" applyFill="1" applyAlignment="1">
      <alignment horizontal="center" vertical="center"/>
    </xf>
    <xf numFmtId="166" fontId="11" fillId="5" borderId="10" xfId="1" applyNumberFormat="1" applyFont="1" applyFill="1" applyBorder="1" applyAlignment="1">
      <alignment horizontal="center" vertical="center"/>
    </xf>
    <xf numFmtId="0" fontId="8" fillId="0" borderId="8" xfId="0" applyFont="1" applyBorder="1" applyAlignment="1">
      <alignment horizontal="center" vertical="center"/>
    </xf>
    <xf numFmtId="0" fontId="7" fillId="0" borderId="8" xfId="1" applyBorder="1"/>
    <xf numFmtId="0" fontId="11" fillId="6" borderId="8" xfId="1" applyFont="1" applyFill="1" applyBorder="1" applyAlignment="1">
      <alignment horizontal="center" vertical="center"/>
    </xf>
    <xf numFmtId="167" fontId="11" fillId="9" borderId="11" xfId="1" applyNumberFormat="1" applyFont="1" applyFill="1" applyBorder="1" applyAlignment="1">
      <alignment horizontal="center" vertical="center" wrapText="1"/>
    </xf>
    <xf numFmtId="166" fontId="11" fillId="5" borderId="7" xfId="1" applyNumberFormat="1" applyFont="1" applyFill="1" applyBorder="1" applyAlignment="1">
      <alignment horizontal="center" vertical="center"/>
    </xf>
    <xf numFmtId="166" fontId="11" fillId="5" borderId="8" xfId="1" applyNumberFormat="1" applyFont="1" applyFill="1" applyBorder="1" applyAlignment="1">
      <alignment horizontal="center" vertical="center"/>
    </xf>
    <xf numFmtId="168" fontId="7" fillId="0" borderId="0" xfId="1" applyNumberFormat="1"/>
    <xf numFmtId="0" fontId="8" fillId="2" borderId="6" xfId="1" applyFont="1" applyFill="1" applyBorder="1" applyAlignment="1">
      <alignment horizontal="center" vertical="center" wrapText="1"/>
    </xf>
    <xf numFmtId="166" fontId="9" fillId="0" borderId="8" xfId="1" applyNumberFormat="1" applyFont="1" applyBorder="1"/>
    <xf numFmtId="0" fontId="12" fillId="7" borderId="8" xfId="1" applyFont="1" applyFill="1" applyBorder="1" applyAlignment="1">
      <alignment horizontal="center" vertical="center"/>
    </xf>
    <xf numFmtId="0" fontId="11" fillId="6" borderId="5" xfId="0" applyFont="1" applyFill="1" applyBorder="1" applyAlignment="1" applyProtection="1">
      <alignment horizontal="center" vertical="center"/>
      <protection locked="0" hidden="1"/>
    </xf>
    <xf numFmtId="0" fontId="6" fillId="0" borderId="15" xfId="0" applyFont="1" applyBorder="1" applyAlignment="1">
      <alignment horizontal="center" vertical="center"/>
    </xf>
    <xf numFmtId="0" fontId="8" fillId="6" borderId="2" xfId="0" applyFont="1" applyFill="1" applyBorder="1" applyAlignment="1">
      <alignment horizontal="center" vertical="center"/>
    </xf>
    <xf numFmtId="0" fontId="11" fillId="5" borderId="4" xfId="0" applyFont="1" applyFill="1" applyBorder="1" applyAlignment="1">
      <alignment horizontal="center" vertical="center"/>
    </xf>
    <xf numFmtId="0" fontId="13" fillId="10" borderId="8" xfId="0" applyFont="1" applyFill="1" applyBorder="1" applyAlignment="1">
      <alignment horizontal="center" vertical="center"/>
    </xf>
    <xf numFmtId="0" fontId="8" fillId="6" borderId="2" xfId="1" applyFont="1" applyFill="1" applyBorder="1" applyAlignment="1">
      <alignment horizontal="center" vertical="center"/>
    </xf>
    <xf numFmtId="0" fontId="11" fillId="6" borderId="8" xfId="1" applyFont="1" applyFill="1" applyBorder="1" applyAlignment="1">
      <alignment horizontal="center" vertical="center" wrapText="1"/>
    </xf>
    <xf numFmtId="0" fontId="11" fillId="8" borderId="7" xfId="0" applyFont="1" applyFill="1" applyBorder="1" applyAlignment="1">
      <alignment horizontal="center" vertical="center"/>
    </xf>
    <xf numFmtId="166" fontId="9" fillId="8" borderId="8" xfId="1" applyNumberFormat="1" applyFont="1" applyFill="1" applyBorder="1"/>
    <xf numFmtId="0" fontId="8" fillId="6" borderId="11" xfId="1" applyFont="1" applyFill="1" applyBorder="1" applyAlignment="1">
      <alignment horizontal="center" vertical="center" wrapText="1"/>
    </xf>
    <xf numFmtId="1" fontId="11" fillId="6" borderId="11" xfId="1" applyNumberFormat="1" applyFont="1" applyFill="1" applyBorder="1" applyAlignment="1">
      <alignment horizontal="center" vertical="center" wrapText="1"/>
    </xf>
    <xf numFmtId="0" fontId="11" fillId="6" borderId="11" xfId="1" applyFont="1" applyFill="1" applyBorder="1" applyAlignment="1">
      <alignment horizontal="center" vertical="center" wrapText="1"/>
    </xf>
    <xf numFmtId="0" fontId="8" fillId="5" borderId="16" xfId="0" applyFont="1" applyFill="1" applyBorder="1" applyAlignment="1">
      <alignment horizontal="center" vertical="center"/>
    </xf>
    <xf numFmtId="0" fontId="8" fillId="11" borderId="1" xfId="1" applyFont="1" applyFill="1" applyBorder="1" applyAlignment="1">
      <alignment horizontal="center" vertical="center"/>
    </xf>
    <xf numFmtId="0" fontId="12" fillId="0" borderId="8" xfId="1" applyFont="1" applyBorder="1" applyAlignment="1">
      <alignment horizontal="center"/>
    </xf>
    <xf numFmtId="0" fontId="9" fillId="8" borderId="7" xfId="1" applyFont="1" applyFill="1" applyBorder="1"/>
    <xf numFmtId="0" fontId="12" fillId="12" borderId="8" xfId="1" applyFont="1" applyFill="1" applyBorder="1" applyAlignment="1">
      <alignment horizontal="center" vertical="center"/>
    </xf>
    <xf numFmtId="0" fontId="12" fillId="8" borderId="8" xfId="1" applyFont="1" applyFill="1" applyBorder="1" applyAlignment="1">
      <alignment horizontal="center" vertical="center"/>
    </xf>
    <xf numFmtId="0" fontId="9" fillId="8" borderId="8" xfId="1" applyFont="1" applyFill="1" applyBorder="1"/>
    <xf numFmtId="0" fontId="8" fillId="11" borderId="1" xfId="1" applyFont="1" applyFill="1" applyBorder="1" applyAlignment="1">
      <alignment horizontal="center" vertical="center" wrapText="1"/>
    </xf>
    <xf numFmtId="0" fontId="9" fillId="0" borderId="17" xfId="1" applyFont="1" applyBorder="1"/>
    <xf numFmtId="0" fontId="9" fillId="0" borderId="17" xfId="1" applyFont="1" applyBorder="1" applyAlignment="1">
      <alignment horizontal="center"/>
    </xf>
    <xf numFmtId="166" fontId="9" fillId="13" borderId="17" xfId="1" applyNumberFormat="1" applyFont="1" applyFill="1" applyBorder="1" applyAlignment="1">
      <alignment horizontal="center"/>
    </xf>
    <xf numFmtId="0" fontId="9" fillId="0" borderId="18" xfId="1" applyFont="1" applyBorder="1"/>
    <xf numFmtId="0" fontId="9" fillId="0" borderId="18" xfId="1" applyFont="1" applyBorder="1" applyAlignment="1">
      <alignment horizontal="center"/>
    </xf>
    <xf numFmtId="166" fontId="9" fillId="13" borderId="18" xfId="1" applyNumberFormat="1" applyFont="1" applyFill="1" applyBorder="1"/>
    <xf numFmtId="0" fontId="7" fillId="8" borderId="18" xfId="1" applyFill="1" applyBorder="1"/>
    <xf numFmtId="166" fontId="11" fillId="5" borderId="14" xfId="1" applyNumberFormat="1" applyFont="1" applyFill="1" applyBorder="1" applyAlignment="1">
      <alignment horizontal="center" vertical="center"/>
    </xf>
    <xf numFmtId="0" fontId="8" fillId="5" borderId="1" xfId="0" applyFont="1" applyFill="1" applyBorder="1" applyAlignment="1">
      <alignment horizontal="center" vertical="center"/>
    </xf>
    <xf numFmtId="0" fontId="11" fillId="6" borderId="1" xfId="0" applyFont="1" applyFill="1" applyBorder="1" applyAlignment="1">
      <alignment horizontal="center" vertical="center" wrapText="1"/>
    </xf>
    <xf numFmtId="0" fontId="8" fillId="6" borderId="1" xfId="0" applyFont="1" applyFill="1" applyBorder="1" applyAlignment="1">
      <alignment horizontal="center" vertical="center"/>
    </xf>
    <xf numFmtId="167" fontId="9" fillId="0" borderId="0" xfId="1" applyNumberFormat="1" applyFont="1"/>
    <xf numFmtId="0" fontId="5" fillId="0" borderId="8" xfId="0" applyFont="1" applyBorder="1" applyAlignment="1">
      <alignment horizontal="center"/>
    </xf>
    <xf numFmtId="0" fontId="8" fillId="5" borderId="8" xfId="1" applyFont="1" applyFill="1" applyBorder="1" applyAlignment="1">
      <alignment horizontal="center" vertical="center"/>
    </xf>
    <xf numFmtId="0" fontId="8" fillId="6" borderId="8" xfId="1" applyFont="1" applyFill="1" applyBorder="1" applyAlignment="1">
      <alignment horizontal="center" vertical="center"/>
    </xf>
    <xf numFmtId="0" fontId="9" fillId="0" borderId="8" xfId="1" applyFont="1" applyBorder="1" applyAlignment="1">
      <alignment horizontal="center"/>
    </xf>
    <xf numFmtId="0" fontId="8" fillId="14" borderId="1" xfId="1" applyFont="1" applyFill="1" applyBorder="1" applyAlignment="1">
      <alignment horizontal="center" vertical="center"/>
    </xf>
    <xf numFmtId="0" fontId="8" fillId="14" borderId="1" xfId="1" applyFont="1" applyFill="1" applyBorder="1" applyAlignment="1">
      <alignment horizontal="center" vertical="center" wrapText="1"/>
    </xf>
    <xf numFmtId="0" fontId="8" fillId="14" borderId="0" xfId="1" applyFont="1" applyFill="1" applyAlignment="1">
      <alignment horizontal="center" vertical="center"/>
    </xf>
    <xf numFmtId="0" fontId="8" fillId="14" borderId="0" xfId="1" applyFont="1" applyFill="1" applyAlignment="1">
      <alignment horizontal="center" vertical="center" wrapText="1"/>
    </xf>
    <xf numFmtId="0" fontId="8" fillId="14" borderId="5" xfId="1" applyFont="1" applyFill="1" applyBorder="1" applyAlignment="1">
      <alignment horizontal="center" vertical="center" wrapText="1"/>
    </xf>
    <xf numFmtId="0" fontId="8" fillId="14" borderId="6" xfId="1" applyFont="1" applyFill="1" applyBorder="1" applyAlignment="1">
      <alignment horizontal="center" vertical="center" wrapText="1"/>
    </xf>
    <xf numFmtId="0" fontId="8" fillId="6" borderId="8" xfId="1" applyFont="1" applyFill="1" applyBorder="1" applyAlignment="1">
      <alignment horizontal="center" vertical="center" wrapText="1"/>
    </xf>
    <xf numFmtId="1" fontId="11" fillId="6" borderId="8" xfId="0" applyNumberFormat="1" applyFont="1" applyFill="1" applyBorder="1" applyAlignment="1" applyProtection="1">
      <alignment horizontal="center" vertical="center"/>
      <protection locked="0" hidden="1"/>
    </xf>
    <xf numFmtId="0" fontId="8" fillId="6" borderId="8" xfId="0" applyFont="1" applyFill="1" applyBorder="1" applyAlignment="1">
      <alignment horizontal="center" vertical="center"/>
    </xf>
    <xf numFmtId="0" fontId="8" fillId="6" borderId="19" xfId="0" applyFont="1" applyFill="1" applyBorder="1" applyAlignment="1">
      <alignment horizontal="center" vertical="center"/>
    </xf>
    <xf numFmtId="0" fontId="11" fillId="6" borderId="3" xfId="0" applyFont="1" applyFill="1" applyBorder="1" applyAlignment="1">
      <alignment horizontal="center" vertical="center"/>
    </xf>
    <xf numFmtId="0" fontId="11" fillId="6" borderId="20" xfId="1" applyFont="1" applyFill="1" applyBorder="1" applyAlignment="1">
      <alignment horizontal="center" vertical="center" wrapText="1"/>
    </xf>
    <xf numFmtId="1" fontId="9" fillId="0" borderId="18" xfId="1" applyNumberFormat="1" applyFont="1" applyBorder="1" applyAlignment="1">
      <alignment horizontal="center"/>
    </xf>
    <xf numFmtId="0" fontId="12" fillId="15" borderId="18" xfId="1" applyFont="1" applyFill="1" applyBorder="1"/>
    <xf numFmtId="1" fontId="9" fillId="15" borderId="18" xfId="1" applyNumberFormat="1" applyFont="1" applyFill="1" applyBorder="1"/>
    <xf numFmtId="0" fontId="9" fillId="15" borderId="18" xfId="1" applyFont="1" applyFill="1" applyBorder="1"/>
    <xf numFmtId="0" fontId="9" fillId="15" borderId="21" xfId="1" applyFont="1" applyFill="1" applyBorder="1"/>
    <xf numFmtId="1" fontId="9" fillId="15" borderId="21" xfId="1" applyNumberFormat="1" applyFont="1" applyFill="1" applyBorder="1"/>
    <xf numFmtId="0" fontId="9" fillId="16" borderId="7" xfId="1" applyFont="1" applyFill="1" applyBorder="1" applyAlignment="1">
      <alignment horizontal="center" vertical="center"/>
    </xf>
    <xf numFmtId="0" fontId="9" fillId="16" borderId="0" xfId="1" applyFont="1" applyFill="1" applyAlignment="1">
      <alignment horizontal="center" vertical="center"/>
    </xf>
    <xf numFmtId="0" fontId="9" fillId="8" borderId="0" xfId="1" applyFont="1" applyFill="1"/>
    <xf numFmtId="0" fontId="12" fillId="15" borderId="22" xfId="1" applyFont="1" applyFill="1" applyBorder="1"/>
    <xf numFmtId="167" fontId="9" fillId="0" borderId="25" xfId="1" applyNumberFormat="1" applyFont="1" applyBorder="1" applyAlignment="1">
      <alignment horizontal="center" vertical="center"/>
    </xf>
    <xf numFmtId="168" fontId="9" fillId="0" borderId="25" xfId="1" applyNumberFormat="1" applyFont="1" applyBorder="1" applyAlignment="1">
      <alignment horizontal="center" vertical="center"/>
    </xf>
    <xf numFmtId="166" fontId="12" fillId="17" borderId="25" xfId="1" applyNumberFormat="1" applyFont="1" applyFill="1" applyBorder="1" applyAlignment="1">
      <alignment horizontal="center" vertical="center"/>
    </xf>
    <xf numFmtId="166" fontId="12" fillId="18" borderId="0" xfId="1" applyNumberFormat="1" applyFont="1" applyFill="1" applyAlignment="1">
      <alignment horizontal="center" vertical="center"/>
    </xf>
    <xf numFmtId="167" fontId="7" fillId="0" borderId="0" xfId="1" applyNumberFormat="1"/>
    <xf numFmtId="0" fontId="18" fillId="8" borderId="0" xfId="1" applyFont="1" applyFill="1" applyAlignment="1">
      <alignment horizontal="center" vertical="center" wrapText="1"/>
    </xf>
    <xf numFmtId="0" fontId="19" fillId="8" borderId="0" xfId="1" applyFont="1" applyFill="1" applyAlignment="1">
      <alignment vertical="center" wrapText="1"/>
    </xf>
    <xf numFmtId="0" fontId="0" fillId="8" borderId="0" xfId="0" applyFill="1" applyAlignment="1">
      <alignment horizontal="center" wrapText="1"/>
    </xf>
    <xf numFmtId="0" fontId="0" fillId="8" borderId="0" xfId="0" applyFill="1" applyAlignment="1">
      <alignment horizontal="center"/>
    </xf>
    <xf numFmtId="0" fontId="0" fillId="19" borderId="0" xfId="0" applyFill="1" applyAlignment="1">
      <alignment horizontal="center"/>
    </xf>
    <xf numFmtId="0" fontId="0" fillId="20" borderId="8" xfId="0" applyFill="1" applyBorder="1" applyAlignment="1">
      <alignment horizontal="center"/>
    </xf>
    <xf numFmtId="0" fontId="20" fillId="0" borderId="0" xfId="0" applyFont="1" applyAlignment="1">
      <alignment wrapText="1"/>
    </xf>
    <xf numFmtId="0" fontId="20" fillId="0" borderId="0" xfId="0" applyFont="1"/>
    <xf numFmtId="0" fontId="21" fillId="0" borderId="0" xfId="1" applyFont="1"/>
    <xf numFmtId="169" fontId="21" fillId="0" borderId="0" xfId="1" applyNumberFormat="1" applyFont="1"/>
    <xf numFmtId="1" fontId="21" fillId="0" borderId="0" xfId="1" applyNumberFormat="1" applyFont="1"/>
    <xf numFmtId="0" fontId="22" fillId="10" borderId="8" xfId="0" applyFont="1" applyFill="1" applyBorder="1" applyAlignment="1">
      <alignment horizontal="center" vertical="center"/>
    </xf>
    <xf numFmtId="0" fontId="13" fillId="10" borderId="9" xfId="0" applyFont="1" applyFill="1" applyBorder="1" applyAlignment="1" applyProtection="1">
      <alignment horizontal="center" vertical="center"/>
      <protection locked="0" hidden="1"/>
    </xf>
    <xf numFmtId="0" fontId="13" fillId="21" borderId="9" xfId="0" applyFont="1" applyFill="1" applyBorder="1" applyAlignment="1">
      <alignment horizontal="center" vertical="center"/>
    </xf>
    <xf numFmtId="0" fontId="9" fillId="13" borderId="8" xfId="1" applyFont="1" applyFill="1" applyBorder="1" applyAlignment="1">
      <alignment horizontal="center" vertical="center"/>
    </xf>
    <xf numFmtId="0" fontId="11" fillId="9" borderId="8" xfId="0" applyFont="1" applyFill="1" applyBorder="1" applyAlignment="1" applyProtection="1">
      <alignment horizontal="center" vertical="center"/>
      <protection locked="0" hidden="1"/>
    </xf>
    <xf numFmtId="0" fontId="11" fillId="9" borderId="8" xfId="0" applyFont="1" applyFill="1" applyBorder="1" applyAlignment="1">
      <alignment horizontal="center" vertical="center"/>
    </xf>
    <xf numFmtId="0" fontId="8" fillId="9" borderId="7" xfId="0" applyFont="1" applyFill="1" applyBorder="1" applyAlignment="1">
      <alignment horizontal="center" vertical="center"/>
    </xf>
    <xf numFmtId="0" fontId="8" fillId="9" borderId="8" xfId="0" applyFont="1" applyFill="1" applyBorder="1" applyAlignment="1">
      <alignment horizontal="center" vertical="center"/>
    </xf>
    <xf numFmtId="0" fontId="12" fillId="22" borderId="8" xfId="1" applyFont="1" applyFill="1" applyBorder="1" applyAlignment="1">
      <alignment horizontal="center" vertical="center"/>
    </xf>
    <xf numFmtId="0" fontId="24" fillId="16" borderId="0" xfId="1" applyFont="1" applyFill="1" applyAlignment="1">
      <alignment horizontal="center" vertical="center"/>
    </xf>
    <xf numFmtId="0" fontId="24" fillId="0" borderId="0" xfId="1" applyFont="1" applyAlignment="1">
      <alignment horizontal="center" vertical="center"/>
    </xf>
    <xf numFmtId="0" fontId="25" fillId="16" borderId="0" xfId="1" applyFont="1" applyFill="1" applyAlignment="1">
      <alignment horizontal="center" vertical="center" wrapText="1"/>
    </xf>
    <xf numFmtId="0" fontId="25" fillId="0" borderId="0" xfId="1" applyFont="1" applyAlignment="1">
      <alignment horizontal="center" vertical="center" wrapText="1"/>
    </xf>
    <xf numFmtId="0" fontId="27" fillId="23" borderId="30" xfId="1" applyFont="1" applyFill="1" applyBorder="1" applyAlignment="1">
      <alignment horizontal="center" vertical="center"/>
    </xf>
    <xf numFmtId="0" fontId="27" fillId="23" borderId="31" xfId="1" applyFont="1" applyFill="1" applyBorder="1" applyAlignment="1">
      <alignment horizontal="center" vertical="center"/>
    </xf>
    <xf numFmtId="0" fontId="27" fillId="23" borderId="31" xfId="1" applyFont="1" applyFill="1" applyBorder="1" applyAlignment="1">
      <alignment horizontal="center" vertical="center" wrapText="1"/>
    </xf>
    <xf numFmtId="0" fontId="27" fillId="23" borderId="32" xfId="1" applyFont="1" applyFill="1" applyBorder="1" applyAlignment="1">
      <alignment horizontal="center" vertical="center"/>
    </xf>
    <xf numFmtId="0" fontId="27" fillId="23" borderId="33" xfId="1" applyFont="1" applyFill="1" applyBorder="1" applyAlignment="1">
      <alignment horizontal="center" vertical="center" wrapText="1"/>
    </xf>
    <xf numFmtId="0" fontId="27" fillId="24" borderId="0" xfId="1" applyFont="1" applyFill="1" applyAlignment="1">
      <alignment horizontal="center" vertical="center"/>
    </xf>
    <xf numFmtId="0" fontId="7" fillId="0" borderId="0" xfId="1" applyAlignment="1">
      <alignment horizontal="center"/>
    </xf>
    <xf numFmtId="14" fontId="28" fillId="25" borderId="34" xfId="1" applyNumberFormat="1" applyFont="1" applyFill="1" applyBorder="1" applyAlignment="1">
      <alignment horizontal="center" vertical="center"/>
    </xf>
    <xf numFmtId="0" fontId="29" fillId="25" borderId="34" xfId="1" applyFont="1" applyFill="1" applyBorder="1" applyAlignment="1">
      <alignment horizontal="center" vertical="center"/>
    </xf>
    <xf numFmtId="0" fontId="29" fillId="25" borderId="34" xfId="1" applyFont="1" applyFill="1" applyBorder="1" applyAlignment="1">
      <alignment horizontal="left" vertical="center" wrapText="1"/>
    </xf>
    <xf numFmtId="0" fontId="30" fillId="25" borderId="34" xfId="1" applyFont="1" applyFill="1" applyBorder="1" applyAlignment="1">
      <alignment horizontal="left" vertical="center" wrapText="1"/>
    </xf>
    <xf numFmtId="166" fontId="7" fillId="25" borderId="34" xfId="1" applyNumberFormat="1" applyFill="1" applyBorder="1" applyAlignment="1">
      <alignment horizontal="left"/>
    </xf>
    <xf numFmtId="166" fontId="7" fillId="25" borderId="0" xfId="1" applyNumberFormat="1" applyFill="1" applyAlignment="1">
      <alignment horizontal="left"/>
    </xf>
    <xf numFmtId="14" fontId="31" fillId="26" borderId="34" xfId="1" applyNumberFormat="1" applyFont="1" applyFill="1" applyBorder="1" applyAlignment="1">
      <alignment horizontal="center" vertical="center"/>
    </xf>
    <xf numFmtId="1" fontId="33" fillId="0" borderId="34" xfId="1" applyNumberFormat="1" applyFont="1" applyBorder="1" applyAlignment="1">
      <alignment horizontal="center" vertical="center"/>
    </xf>
    <xf numFmtId="1" fontId="29" fillId="0" borderId="34" xfId="1" applyNumberFormat="1" applyFont="1" applyBorder="1" applyAlignment="1">
      <alignment horizontal="center" vertical="center"/>
    </xf>
    <xf numFmtId="0" fontId="29" fillId="0" borderId="34" xfId="1" applyFont="1" applyBorder="1"/>
    <xf numFmtId="0" fontId="30" fillId="0" borderId="34" xfId="1" applyFont="1" applyBorder="1" applyAlignment="1">
      <alignment horizontal="justify"/>
    </xf>
    <xf numFmtId="166" fontId="34" fillId="0" borderId="34" xfId="1" applyNumberFormat="1" applyFont="1" applyBorder="1" applyAlignment="1">
      <alignment horizontal="center" vertical="center" wrapText="1"/>
    </xf>
    <xf numFmtId="166" fontId="11" fillId="0" borderId="34" xfId="1" applyNumberFormat="1" applyFont="1" applyBorder="1" applyAlignment="1">
      <alignment horizontal="center" vertical="center" wrapText="1"/>
    </xf>
    <xf numFmtId="166" fontId="27" fillId="0" borderId="35" xfId="1" applyNumberFormat="1" applyFont="1" applyBorder="1" applyAlignment="1">
      <alignment horizontal="center" vertical="center"/>
    </xf>
    <xf numFmtId="0" fontId="33" fillId="0" borderId="34" xfId="1" applyFont="1" applyBorder="1" applyAlignment="1">
      <alignment horizontal="center" vertical="center"/>
    </xf>
    <xf numFmtId="0" fontId="29" fillId="0" borderId="34" xfId="1" applyFont="1" applyBorder="1" applyAlignment="1">
      <alignment horizontal="left" vertical="center" wrapText="1"/>
    </xf>
    <xf numFmtId="167" fontId="33" fillId="0" borderId="0" xfId="1" applyNumberFormat="1" applyFont="1" applyAlignment="1">
      <alignment horizontal="center"/>
    </xf>
    <xf numFmtId="168" fontId="9" fillId="0" borderId="0" xfId="1" applyNumberFormat="1" applyFont="1"/>
    <xf numFmtId="0" fontId="29" fillId="0" borderId="34" xfId="1" applyFont="1" applyBorder="1" applyAlignment="1">
      <alignment horizontal="center" vertical="center"/>
    </xf>
    <xf numFmtId="167" fontId="33" fillId="0" borderId="9" xfId="1" applyNumberFormat="1" applyFont="1" applyBorder="1" applyAlignment="1">
      <alignment horizontal="center"/>
    </xf>
    <xf numFmtId="167" fontId="33" fillId="0" borderId="8" xfId="1" applyNumberFormat="1" applyFont="1" applyBorder="1" applyAlignment="1">
      <alignment horizontal="center"/>
    </xf>
    <xf numFmtId="166" fontId="34" fillId="0" borderId="34" xfId="1" applyNumberFormat="1" applyFont="1" applyBorder="1" applyAlignment="1">
      <alignment horizontal="center" vertical="center"/>
    </xf>
    <xf numFmtId="167" fontId="35" fillId="13" borderId="36" xfId="1" applyNumberFormat="1" applyFont="1" applyFill="1" applyBorder="1" applyAlignment="1">
      <alignment horizontal="center"/>
    </xf>
    <xf numFmtId="167" fontId="33" fillId="12" borderId="37" xfId="1" applyNumberFormat="1" applyFont="1" applyFill="1" applyBorder="1" applyAlignment="1">
      <alignment horizontal="center"/>
    </xf>
    <xf numFmtId="166" fontId="27" fillId="0" borderId="34" xfId="1" applyNumberFormat="1" applyFont="1" applyBorder="1" applyAlignment="1">
      <alignment horizontal="center" vertical="center" wrapText="1"/>
    </xf>
    <xf numFmtId="166" fontId="27" fillId="0" borderId="34" xfId="1" applyNumberFormat="1" applyFont="1" applyBorder="1" applyAlignment="1">
      <alignment horizontal="center" wrapText="1"/>
    </xf>
    <xf numFmtId="166" fontId="8" fillId="28" borderId="34" xfId="1" applyNumberFormat="1" applyFont="1" applyFill="1" applyBorder="1" applyAlignment="1">
      <alignment horizontal="center" vertical="center" wrapText="1"/>
    </xf>
    <xf numFmtId="167" fontId="33" fillId="0" borderId="0" xfId="1" applyNumberFormat="1" applyFont="1" applyAlignment="1">
      <alignment horizontal="center" vertical="center"/>
    </xf>
    <xf numFmtId="14" fontId="36" fillId="25" borderId="34" xfId="1" applyNumberFormat="1" applyFont="1" applyFill="1" applyBorder="1" applyAlignment="1">
      <alignment horizontal="right"/>
    </xf>
    <xf numFmtId="0" fontId="37" fillId="25" borderId="34" xfId="1" applyFont="1" applyFill="1" applyBorder="1" applyAlignment="1">
      <alignment horizontal="center" vertical="center"/>
    </xf>
    <xf numFmtId="0" fontId="37" fillId="25" borderId="34" xfId="1" applyFont="1" applyFill="1" applyBorder="1" applyAlignment="1">
      <alignment horizontal="left" vertical="center" wrapText="1"/>
    </xf>
    <xf numFmtId="166" fontId="38" fillId="25" borderId="34" xfId="1" applyNumberFormat="1" applyFont="1" applyFill="1" applyBorder="1" applyAlignment="1">
      <alignment horizontal="left"/>
    </xf>
    <xf numFmtId="166" fontId="38" fillId="25" borderId="35" xfId="1" applyNumberFormat="1" applyFont="1" applyFill="1" applyBorder="1" applyAlignment="1">
      <alignment horizontal="left"/>
    </xf>
    <xf numFmtId="166" fontId="38" fillId="25" borderId="0" xfId="1" applyNumberFormat="1" applyFont="1" applyFill="1" applyAlignment="1">
      <alignment horizontal="left"/>
    </xf>
    <xf numFmtId="167" fontId="7" fillId="0" borderId="0" xfId="1" applyNumberFormat="1" applyAlignment="1">
      <alignment horizontal="center"/>
    </xf>
    <xf numFmtId="166" fontId="9" fillId="0" borderId="0" xfId="1" applyNumberFormat="1" applyFont="1"/>
    <xf numFmtId="165" fontId="39" fillId="0" borderId="0" xfId="3" applyFont="1"/>
    <xf numFmtId="166" fontId="34" fillId="0" borderId="35" xfId="1" applyNumberFormat="1" applyFont="1" applyBorder="1" applyAlignment="1">
      <alignment horizontal="center" vertical="center"/>
    </xf>
    <xf numFmtId="166" fontId="8" fillId="28" borderId="35" xfId="1" applyNumberFormat="1" applyFont="1" applyFill="1" applyBorder="1" applyAlignment="1">
      <alignment horizontal="center" vertical="center" wrapText="1"/>
    </xf>
    <xf numFmtId="166" fontId="40" fillId="25" borderId="34" xfId="1" applyNumberFormat="1" applyFont="1" applyFill="1" applyBorder="1" applyAlignment="1">
      <alignment horizontal="left"/>
    </xf>
    <xf numFmtId="166" fontId="40" fillId="25" borderId="35" xfId="1" applyNumberFormat="1" applyFont="1" applyFill="1" applyBorder="1" applyAlignment="1">
      <alignment horizontal="left"/>
    </xf>
    <xf numFmtId="0" fontId="39" fillId="0" borderId="0" xfId="1" applyFont="1"/>
    <xf numFmtId="44" fontId="39" fillId="0" borderId="0" xfId="1" applyNumberFormat="1" applyFont="1"/>
    <xf numFmtId="1" fontId="29" fillId="8" borderId="34" xfId="1" applyNumberFormat="1" applyFont="1" applyFill="1" applyBorder="1" applyAlignment="1">
      <alignment horizontal="center" vertical="center"/>
    </xf>
    <xf numFmtId="44" fontId="41" fillId="0" borderId="0" xfId="1" applyNumberFormat="1" applyFont="1"/>
    <xf numFmtId="44" fontId="42" fillId="0" borderId="0" xfId="1" applyNumberFormat="1" applyFont="1"/>
    <xf numFmtId="14" fontId="43" fillId="30" borderId="40" xfId="0" applyNumberFormat="1" applyFont="1" applyFill="1" applyBorder="1" applyAlignment="1">
      <alignment horizontal="center" vertical="center"/>
    </xf>
    <xf numFmtId="14" fontId="31" fillId="31" borderId="34" xfId="1" applyNumberFormat="1" applyFont="1" applyFill="1" applyBorder="1" applyAlignment="1">
      <alignment horizontal="center" vertical="center"/>
    </xf>
    <xf numFmtId="0" fontId="29" fillId="32" borderId="34" xfId="1" applyFont="1" applyFill="1" applyBorder="1" applyAlignment="1">
      <alignment horizontal="center" vertical="center"/>
    </xf>
    <xf numFmtId="0" fontId="33" fillId="32" borderId="34" xfId="1" applyFont="1" applyFill="1" applyBorder="1" applyAlignment="1">
      <alignment horizontal="center" vertical="center"/>
    </xf>
    <xf numFmtId="0" fontId="29" fillId="32" borderId="34" xfId="1" applyFont="1" applyFill="1" applyBorder="1" applyAlignment="1">
      <alignment horizontal="left" vertical="center" wrapText="1"/>
    </xf>
    <xf numFmtId="0" fontId="30" fillId="32" borderId="34" xfId="1" applyFont="1" applyFill="1" applyBorder="1" applyAlignment="1">
      <alignment horizontal="justify"/>
    </xf>
    <xf numFmtId="166" fontId="27" fillId="32" borderId="34" xfId="1" applyNumberFormat="1" applyFont="1" applyFill="1" applyBorder="1" applyAlignment="1">
      <alignment horizontal="center" vertical="center" wrapText="1"/>
    </xf>
    <xf numFmtId="166" fontId="8" fillId="32" borderId="35" xfId="1" applyNumberFormat="1" applyFont="1" applyFill="1" applyBorder="1" applyAlignment="1">
      <alignment horizontal="center" vertical="center" wrapText="1"/>
    </xf>
    <xf numFmtId="167" fontId="33" fillId="32" borderId="8" xfId="1" applyNumberFormat="1" applyFont="1" applyFill="1" applyBorder="1" applyAlignment="1">
      <alignment horizontal="center" vertical="center"/>
    </xf>
    <xf numFmtId="166" fontId="7" fillId="25" borderId="35" xfId="1" applyNumberFormat="1" applyFill="1" applyBorder="1" applyAlignment="1">
      <alignment horizontal="left"/>
    </xf>
    <xf numFmtId="0" fontId="33" fillId="0" borderId="0" xfId="1" applyFont="1" applyAlignment="1">
      <alignment horizontal="center"/>
    </xf>
    <xf numFmtId="0" fontId="7" fillId="8" borderId="0" xfId="1" applyFill="1" applyAlignment="1">
      <alignment horizontal="center"/>
    </xf>
    <xf numFmtId="14" fontId="31" fillId="26" borderId="43" xfId="1" applyNumberFormat="1" applyFont="1" applyFill="1" applyBorder="1" applyAlignment="1">
      <alignment horizontal="center" vertical="center"/>
    </xf>
    <xf numFmtId="0" fontId="34" fillId="23" borderId="43" xfId="1" applyFont="1" applyFill="1" applyBorder="1" applyAlignment="1">
      <alignment horizontal="center" vertical="center"/>
    </xf>
    <xf numFmtId="0" fontId="44" fillId="23" borderId="43" xfId="1" applyFont="1" applyFill="1" applyBorder="1" applyAlignment="1">
      <alignment horizontal="left" wrapText="1"/>
    </xf>
    <xf numFmtId="0" fontId="44" fillId="23" borderId="43" xfId="1" applyFont="1" applyFill="1" applyBorder="1" applyAlignment="1">
      <alignment horizontal="left" vertical="center" wrapText="1"/>
    </xf>
    <xf numFmtId="0" fontId="27" fillId="23" borderId="43" xfId="1" applyFont="1" applyFill="1" applyBorder="1" applyAlignment="1">
      <alignment horizontal="center" vertical="center"/>
    </xf>
    <xf numFmtId="0" fontId="27" fillId="23" borderId="43" xfId="1" applyFont="1" applyFill="1" applyBorder="1" applyAlignment="1">
      <alignment horizontal="center" vertical="center" wrapText="1"/>
    </xf>
    <xf numFmtId="0" fontId="27" fillId="23" borderId="0" xfId="1" applyFont="1" applyFill="1" applyAlignment="1">
      <alignment horizontal="center" vertical="center"/>
    </xf>
    <xf numFmtId="3" fontId="45" fillId="0" borderId="0" xfId="1" applyNumberFormat="1" applyFont="1" applyAlignment="1">
      <alignment horizontal="center"/>
    </xf>
    <xf numFmtId="14" fontId="28" fillId="33" borderId="44" xfId="1" applyNumberFormat="1" applyFont="1" applyFill="1" applyBorder="1" applyAlignment="1">
      <alignment horizontal="right"/>
    </xf>
    <xf numFmtId="1" fontId="28" fillId="33" borderId="45" xfId="1" applyNumberFormat="1" applyFont="1" applyFill="1" applyBorder="1" applyAlignment="1">
      <alignment horizontal="center"/>
    </xf>
    <xf numFmtId="0" fontId="46" fillId="0" borderId="45" xfId="1" applyFont="1" applyBorder="1" applyAlignment="1">
      <alignment horizontal="right"/>
    </xf>
    <xf numFmtId="168" fontId="28" fillId="34" borderId="45" xfId="1" applyNumberFormat="1" applyFont="1" applyFill="1" applyBorder="1"/>
    <xf numFmtId="3" fontId="28" fillId="34" borderId="45" xfId="1" applyNumberFormat="1" applyFont="1" applyFill="1" applyBorder="1"/>
    <xf numFmtId="3" fontId="28" fillId="34" borderId="0" xfId="1" applyNumberFormat="1" applyFont="1" applyFill="1"/>
    <xf numFmtId="3" fontId="36" fillId="16" borderId="8" xfId="1" applyNumberFormat="1" applyFont="1" applyFill="1" applyBorder="1" applyAlignment="1">
      <alignment horizontal="center"/>
    </xf>
    <xf numFmtId="14" fontId="34" fillId="0" borderId="0" xfId="1" applyNumberFormat="1" applyFont="1" applyAlignment="1">
      <alignment horizontal="center" vertical="center"/>
    </xf>
    <xf numFmtId="0" fontId="34" fillId="0" borderId="0" xfId="1" applyFont="1" applyAlignment="1">
      <alignment horizontal="center" vertical="center"/>
    </xf>
    <xf numFmtId="0" fontId="7" fillId="0" borderId="0" xfId="1" applyAlignment="1">
      <alignment horizontal="center" vertical="center"/>
    </xf>
    <xf numFmtId="0" fontId="47" fillId="26" borderId="13" xfId="1" applyFont="1" applyFill="1" applyBorder="1" applyAlignment="1">
      <alignment horizontal="center" vertical="center" wrapText="1"/>
    </xf>
    <xf numFmtId="3" fontId="48" fillId="26" borderId="0" xfId="1" applyNumberFormat="1" applyFont="1" applyFill="1" applyAlignment="1">
      <alignment horizontal="center" vertical="center"/>
    </xf>
    <xf numFmtId="168" fontId="39" fillId="16" borderId="8" xfId="1" applyNumberFormat="1" applyFont="1" applyFill="1" applyBorder="1"/>
    <xf numFmtId="170" fontId="49" fillId="16" borderId="8" xfId="1" applyNumberFormat="1" applyFont="1" applyFill="1" applyBorder="1"/>
    <xf numFmtId="170" fontId="50" fillId="0" borderId="0" xfId="1" applyNumberFormat="1" applyFont="1"/>
    <xf numFmtId="170" fontId="39" fillId="0" borderId="0" xfId="1" applyNumberFormat="1" applyFont="1"/>
    <xf numFmtId="3" fontId="48" fillId="26" borderId="0" xfId="1" applyNumberFormat="1" applyFont="1" applyFill="1" applyAlignment="1">
      <alignment horizontal="right" vertical="center"/>
    </xf>
    <xf numFmtId="14" fontId="28" fillId="0" borderId="0" xfId="1" applyNumberFormat="1" applyFont="1" applyAlignment="1">
      <alignment horizontal="center" vertical="center"/>
    </xf>
    <xf numFmtId="171" fontId="51" fillId="36" borderId="54" xfId="1" applyNumberFormat="1" applyFont="1" applyFill="1" applyBorder="1" applyAlignment="1">
      <alignment horizontal="center" vertical="center" wrapText="1"/>
    </xf>
    <xf numFmtId="172" fontId="51" fillId="36" borderId="55" xfId="1" applyNumberFormat="1" applyFont="1" applyFill="1" applyBorder="1" applyAlignment="1">
      <alignment horizontal="center" vertical="center" wrapText="1"/>
    </xf>
    <xf numFmtId="0" fontId="51" fillId="36" borderId="55" xfId="1" applyFont="1" applyFill="1" applyBorder="1" applyAlignment="1">
      <alignment horizontal="center" vertical="center" wrapText="1"/>
    </xf>
    <xf numFmtId="0" fontId="52" fillId="36" borderId="56" xfId="1" applyFont="1" applyFill="1" applyBorder="1" applyAlignment="1">
      <alignment horizontal="center" vertical="center" wrapText="1"/>
    </xf>
    <xf numFmtId="168" fontId="53" fillId="13" borderId="0" xfId="1" applyNumberFormat="1" applyFont="1" applyFill="1" applyAlignment="1">
      <alignment horizontal="center"/>
    </xf>
    <xf numFmtId="173" fontId="54" fillId="37" borderId="8" xfId="1" applyNumberFormat="1" applyFont="1" applyFill="1" applyBorder="1" applyAlignment="1">
      <alignment horizontal="center" vertical="center" wrapText="1"/>
    </xf>
    <xf numFmtId="20" fontId="54" fillId="37" borderId="8" xfId="1" applyNumberFormat="1" applyFont="1" applyFill="1" applyBorder="1" applyAlignment="1">
      <alignment horizontal="center" vertical="center" wrapText="1"/>
    </xf>
    <xf numFmtId="49" fontId="54" fillId="37" borderId="8" xfId="1" applyNumberFormat="1" applyFont="1" applyFill="1" applyBorder="1" applyAlignment="1">
      <alignment horizontal="center" vertical="center" wrapText="1"/>
    </xf>
    <xf numFmtId="0" fontId="55" fillId="38" borderId="7" xfId="0" applyFont="1" applyFill="1" applyBorder="1" applyAlignment="1">
      <alignment horizontal="center" vertical="center"/>
    </xf>
    <xf numFmtId="0" fontId="55" fillId="38" borderId="8" xfId="0" applyFont="1" applyFill="1" applyBorder="1" applyAlignment="1">
      <alignment horizontal="center" vertical="center" wrapText="1"/>
    </xf>
    <xf numFmtId="166" fontId="11" fillId="39" borderId="5" xfId="1" applyNumberFormat="1" applyFont="1" applyFill="1" applyBorder="1" applyAlignment="1">
      <alignment horizontal="center" vertical="center"/>
    </xf>
    <xf numFmtId="0" fontId="53" fillId="0" borderId="0" xfId="1" applyFont="1" applyAlignment="1">
      <alignment horizontal="center"/>
    </xf>
    <xf numFmtId="49" fontId="52" fillId="40" borderId="0" xfId="1" applyNumberFormat="1" applyFont="1" applyFill="1" applyAlignment="1">
      <alignment horizontal="center" vertical="center" wrapText="1"/>
    </xf>
    <xf numFmtId="49" fontId="7" fillId="8" borderId="0" xfId="1" applyNumberFormat="1" applyFill="1"/>
    <xf numFmtId="49" fontId="7" fillId="0" borderId="0" xfId="1" applyNumberFormat="1"/>
    <xf numFmtId="49" fontId="53" fillId="8" borderId="0" xfId="1" applyNumberFormat="1" applyFont="1" applyFill="1" applyAlignment="1">
      <alignment horizontal="center"/>
    </xf>
    <xf numFmtId="49" fontId="53" fillId="0" borderId="0" xfId="1" applyNumberFormat="1" applyFont="1" applyAlignment="1">
      <alignment horizontal="center"/>
    </xf>
    <xf numFmtId="49" fontId="53" fillId="0" borderId="9" xfId="1" applyNumberFormat="1" applyFont="1" applyBorder="1" applyAlignment="1">
      <alignment horizontal="center"/>
    </xf>
    <xf numFmtId="49" fontId="52" fillId="0" borderId="0" xfId="1" applyNumberFormat="1" applyFont="1" applyAlignment="1">
      <alignment horizontal="center" vertical="center" wrapText="1"/>
    </xf>
    <xf numFmtId="169" fontId="52" fillId="0" borderId="0" xfId="3" applyNumberFormat="1" applyFont="1" applyFill="1" applyBorder="1" applyAlignment="1">
      <alignment horizontal="center" vertical="center" wrapText="1"/>
    </xf>
    <xf numFmtId="164" fontId="56" fillId="0" borderId="0" xfId="4" applyFont="1" applyAlignment="1">
      <alignment horizontal="center"/>
    </xf>
    <xf numFmtId="49" fontId="57" fillId="0" borderId="0" xfId="1" applyNumberFormat="1" applyFont="1" applyAlignment="1">
      <alignment horizontal="center" wrapText="1"/>
    </xf>
    <xf numFmtId="49" fontId="57" fillId="8" borderId="0" xfId="1" applyNumberFormat="1" applyFont="1" applyFill="1" applyAlignment="1">
      <alignment horizontal="center" wrapText="1"/>
    </xf>
    <xf numFmtId="173" fontId="54" fillId="37" borderId="7" xfId="1" applyNumberFormat="1" applyFont="1" applyFill="1" applyBorder="1" applyAlignment="1">
      <alignment horizontal="center" vertical="center" wrapText="1"/>
    </xf>
    <xf numFmtId="21" fontId="49" fillId="0" borderId="57" xfId="1" applyNumberFormat="1" applyFont="1" applyBorder="1" applyAlignment="1">
      <alignment horizontal="center" vertical="center" wrapText="1"/>
    </xf>
    <xf numFmtId="0" fontId="9" fillId="0" borderId="57" xfId="1" applyFont="1" applyBorder="1" applyAlignment="1">
      <alignment horizontal="center" vertical="center" wrapText="1"/>
    </xf>
    <xf numFmtId="169" fontId="58" fillId="26" borderId="39" xfId="5" applyNumberFormat="1" applyFont="1" applyFill="1" applyBorder="1" applyAlignment="1" applyProtection="1">
      <alignment horizontal="center" vertical="center" wrapText="1"/>
    </xf>
    <xf numFmtId="3" fontId="49" fillId="0" borderId="0" xfId="1" applyNumberFormat="1" applyFont="1" applyAlignment="1">
      <alignment horizontal="center" vertical="center" wrapText="1"/>
    </xf>
    <xf numFmtId="0" fontId="49" fillId="8" borderId="0" xfId="1" applyFont="1" applyFill="1" applyAlignment="1">
      <alignment horizontal="center" vertical="center" wrapText="1"/>
    </xf>
    <xf numFmtId="167" fontId="50" fillId="0" borderId="0" xfId="1" applyNumberFormat="1" applyFont="1"/>
    <xf numFmtId="175" fontId="7" fillId="0" borderId="0" xfId="1" applyNumberFormat="1"/>
    <xf numFmtId="0" fontId="49" fillId="0" borderId="0" xfId="1" applyFont="1" applyAlignment="1">
      <alignment horizontal="center" vertical="center" wrapText="1"/>
    </xf>
    <xf numFmtId="3" fontId="7" fillId="6" borderId="0" xfId="1" applyNumberFormat="1" applyFill="1" applyAlignment="1">
      <alignment horizontal="center"/>
    </xf>
    <xf numFmtId="0" fontId="44" fillId="6" borderId="0" xfId="1" applyFont="1" applyFill="1" applyAlignment="1">
      <alignment horizontal="left"/>
    </xf>
    <xf numFmtId="0" fontId="7" fillId="6" borderId="0" xfId="1" applyFill="1"/>
    <xf numFmtId="169" fontId="50" fillId="8" borderId="0" xfId="1" applyNumberFormat="1" applyFont="1" applyFill="1" applyAlignment="1">
      <alignment horizontal="center" vertical="center" wrapText="1"/>
    </xf>
    <xf numFmtId="3" fontId="50" fillId="0" borderId="0" xfId="1" applyNumberFormat="1" applyFont="1"/>
    <xf numFmtId="3" fontId="7" fillId="0" borderId="0" xfId="1" applyNumberFormat="1"/>
    <xf numFmtId="0" fontId="8" fillId="5" borderId="0" xfId="0" applyFont="1" applyFill="1" applyAlignment="1">
      <alignment horizontal="center" vertical="center"/>
    </xf>
    <xf numFmtId="49" fontId="8" fillId="5" borderId="0" xfId="0" applyNumberFormat="1" applyFont="1" applyFill="1" applyAlignment="1">
      <alignment horizontal="center" vertical="center"/>
    </xf>
    <xf numFmtId="166" fontId="11" fillId="6" borderId="0" xfId="1" applyNumberFormat="1" applyFont="1" applyFill="1" applyAlignment="1">
      <alignment horizontal="center" vertical="center"/>
    </xf>
    <xf numFmtId="166" fontId="62" fillId="5" borderId="0" xfId="1" applyNumberFormat="1" applyFont="1" applyFill="1" applyAlignment="1">
      <alignment horizontal="center" vertical="center"/>
    </xf>
    <xf numFmtId="3" fontId="64" fillId="0" borderId="0" xfId="1" applyNumberFormat="1" applyFont="1"/>
    <xf numFmtId="169" fontId="0" fillId="0" borderId="0" xfId="0" applyNumberFormat="1" applyAlignment="1">
      <alignment horizontal="center" vertical="center"/>
    </xf>
    <xf numFmtId="0" fontId="35" fillId="0" borderId="0" xfId="1" applyFont="1" applyAlignment="1">
      <alignment horizontal="center"/>
    </xf>
    <xf numFmtId="169" fontId="53" fillId="0" borderId="0" xfId="1" applyNumberFormat="1" applyFont="1"/>
    <xf numFmtId="3" fontId="42" fillId="0" borderId="0" xfId="1" applyNumberFormat="1" applyFont="1"/>
    <xf numFmtId="3" fontId="35" fillId="0" borderId="0" xfId="1" applyNumberFormat="1" applyFont="1"/>
    <xf numFmtId="176" fontId="66" fillId="0" borderId="0" xfId="5" applyNumberFormat="1" applyFont="1" applyFill="1" applyBorder="1" applyAlignment="1" applyProtection="1">
      <alignment vertical="center"/>
    </xf>
    <xf numFmtId="0" fontId="21" fillId="0" borderId="0" xfId="1" applyFont="1" applyAlignment="1">
      <alignment horizontal="center"/>
    </xf>
    <xf numFmtId="0" fontId="68" fillId="0" borderId="0" xfId="0" applyFont="1"/>
    <xf numFmtId="0" fontId="67" fillId="0" borderId="8" xfId="0" applyFont="1" applyBorder="1" applyAlignment="1">
      <alignment horizontal="center"/>
    </xf>
    <xf numFmtId="0" fontId="67" fillId="0" borderId="61" xfId="0" applyFont="1" applyBorder="1" applyAlignment="1">
      <alignment horizontal="center" wrapText="1"/>
    </xf>
    <xf numFmtId="0" fontId="68" fillId="0" borderId="8" xfId="0" applyFont="1" applyBorder="1" applyAlignment="1">
      <alignment horizontal="center"/>
    </xf>
    <xf numFmtId="164" fontId="68" fillId="0" borderId="8" xfId="4" applyFont="1" applyBorder="1"/>
    <xf numFmtId="177" fontId="68" fillId="13" borderId="8" xfId="0" applyNumberFormat="1" applyFont="1" applyFill="1" applyBorder="1"/>
    <xf numFmtId="177" fontId="69" fillId="16" borderId="8" xfId="0" applyNumberFormat="1" applyFont="1" applyFill="1" applyBorder="1"/>
    <xf numFmtId="0" fontId="68" fillId="12" borderId="0" xfId="0" applyFont="1" applyFill="1"/>
    <xf numFmtId="164" fontId="68" fillId="0" borderId="0" xfId="0" applyNumberFormat="1" applyFont="1"/>
    <xf numFmtId="164" fontId="67" fillId="0" borderId="0" xfId="0" applyNumberFormat="1" applyFont="1"/>
    <xf numFmtId="177" fontId="68" fillId="0" borderId="0" xfId="0" applyNumberFormat="1" applyFont="1"/>
    <xf numFmtId="177" fontId="70" fillId="16" borderId="16" xfId="0" applyNumberFormat="1" applyFont="1" applyFill="1" applyBorder="1"/>
    <xf numFmtId="164" fontId="0" fillId="0" borderId="0" xfId="0" applyNumberFormat="1"/>
    <xf numFmtId="178" fontId="0" fillId="0" borderId="0" xfId="0" applyNumberFormat="1"/>
    <xf numFmtId="17" fontId="0" fillId="0" borderId="0" xfId="0" applyNumberFormat="1"/>
    <xf numFmtId="177" fontId="68" fillId="0" borderId="8" xfId="4" applyNumberFormat="1" applyFont="1" applyBorder="1"/>
    <xf numFmtId="177" fontId="68" fillId="0" borderId="8" xfId="0" applyNumberFormat="1" applyFont="1" applyBorder="1"/>
    <xf numFmtId="0" fontId="0" fillId="12" borderId="0" xfId="0" applyFill="1"/>
    <xf numFmtId="164" fontId="68" fillId="8" borderId="8" xfId="4" applyFont="1" applyFill="1" applyBorder="1"/>
    <xf numFmtId="177" fontId="0" fillId="0" borderId="0" xfId="0" applyNumberFormat="1"/>
    <xf numFmtId="177" fontId="68" fillId="0" borderId="0" xfId="4" applyNumberFormat="1" applyFont="1" applyFill="1" applyBorder="1"/>
    <xf numFmtId="177" fontId="0" fillId="0" borderId="8" xfId="0" applyNumberFormat="1" applyBorder="1"/>
    <xf numFmtId="164" fontId="0" fillId="0" borderId="0" xfId="2" applyFont="1"/>
    <xf numFmtId="0" fontId="0" fillId="0" borderId="37" xfId="0" applyBorder="1"/>
    <xf numFmtId="0" fontId="0" fillId="0" borderId="38" xfId="0" applyBorder="1"/>
    <xf numFmtId="164" fontId="0" fillId="0" borderId="0" xfId="4" applyFont="1"/>
    <xf numFmtId="177" fontId="67" fillId="0" borderId="0" xfId="0" applyNumberFormat="1" applyFont="1"/>
    <xf numFmtId="164" fontId="0" fillId="0" borderId="8" xfId="2" applyFont="1" applyBorder="1"/>
    <xf numFmtId="177" fontId="70" fillId="16" borderId="0" xfId="0" applyNumberFormat="1" applyFont="1" applyFill="1"/>
    <xf numFmtId="166" fontId="11" fillId="42" borderId="5" xfId="1" applyNumberFormat="1" applyFont="1" applyFill="1" applyBorder="1" applyAlignment="1">
      <alignment horizontal="center" vertical="center"/>
    </xf>
    <xf numFmtId="0" fontId="4" fillId="0" borderId="8" xfId="0" applyFont="1" applyBorder="1" applyAlignment="1">
      <alignment horizontal="center" vertical="center"/>
    </xf>
    <xf numFmtId="0" fontId="4" fillId="0" borderId="7" xfId="0" applyFont="1" applyBorder="1"/>
    <xf numFmtId="0" fontId="4" fillId="0" borderId="7" xfId="0" applyFont="1" applyBorder="1" applyAlignment="1">
      <alignment horizontal="center" vertical="center"/>
    </xf>
    <xf numFmtId="0" fontId="4" fillId="0" borderId="8" xfId="0" applyFont="1" applyBorder="1"/>
    <xf numFmtId="0" fontId="4" fillId="0" borderId="0" xfId="0" applyFont="1"/>
    <xf numFmtId="0" fontId="4" fillId="0" borderId="8" xfId="0" applyFont="1" applyBorder="1" applyAlignment="1">
      <alignment horizontal="center"/>
    </xf>
    <xf numFmtId="1" fontId="9" fillId="0" borderId="18" xfId="1" applyNumberFormat="1" applyFont="1" applyBorder="1"/>
    <xf numFmtId="166" fontId="11" fillId="43" borderId="5" xfId="1" applyNumberFormat="1" applyFont="1" applyFill="1" applyBorder="1" applyAlignment="1">
      <alignment horizontal="center" vertical="center"/>
    </xf>
    <xf numFmtId="166" fontId="11" fillId="42" borderId="8" xfId="1" applyNumberFormat="1" applyFont="1" applyFill="1" applyBorder="1" applyAlignment="1">
      <alignment horizontal="center" vertical="center"/>
    </xf>
    <xf numFmtId="0" fontId="8" fillId="2" borderId="8" xfId="1" applyFont="1" applyFill="1" applyBorder="1" applyAlignment="1">
      <alignment horizontal="center" vertical="center" wrapText="1"/>
    </xf>
    <xf numFmtId="0" fontId="3" fillId="0" borderId="8" xfId="0" applyFont="1" applyBorder="1" applyAlignment="1">
      <alignment horizontal="center" vertical="center"/>
    </xf>
    <xf numFmtId="0" fontId="3" fillId="0" borderId="7" xfId="0" applyFont="1" applyBorder="1"/>
    <xf numFmtId="0" fontId="3" fillId="0" borderId="7" xfId="0" applyFont="1" applyBorder="1" applyAlignment="1">
      <alignment horizontal="center" vertical="center"/>
    </xf>
    <xf numFmtId="0" fontId="3" fillId="0" borderId="8" xfId="0" applyFont="1" applyBorder="1"/>
    <xf numFmtId="0" fontId="3" fillId="0" borderId="0" xfId="0" applyFont="1"/>
    <xf numFmtId="0" fontId="8" fillId="2" borderId="0" xfId="1" applyFont="1" applyFill="1" applyAlignment="1">
      <alignment horizontal="center" vertical="center" wrapText="1"/>
    </xf>
    <xf numFmtId="0" fontId="3" fillId="0" borderId="8" xfId="0" applyFont="1" applyBorder="1" applyAlignment="1">
      <alignment horizontal="center"/>
    </xf>
    <xf numFmtId="166" fontId="11" fillId="39" borderId="8" xfId="1" applyNumberFormat="1" applyFont="1" applyFill="1" applyBorder="1" applyAlignment="1">
      <alignment horizontal="center" vertical="center"/>
    </xf>
    <xf numFmtId="0" fontId="8" fillId="3" borderId="62" xfId="1" applyFont="1" applyFill="1" applyBorder="1" applyAlignment="1">
      <alignment horizontal="center" vertical="center"/>
    </xf>
    <xf numFmtId="0" fontId="8" fillId="3" borderId="62" xfId="1" applyFont="1" applyFill="1" applyBorder="1" applyAlignment="1">
      <alignment horizontal="center" vertical="center" wrapText="1"/>
    </xf>
    <xf numFmtId="0" fontId="2" fillId="0" borderId="8" xfId="0" applyFont="1" applyBorder="1" applyAlignment="1">
      <alignment horizontal="center" vertical="center"/>
    </xf>
    <xf numFmtId="0" fontId="2" fillId="0" borderId="7" xfId="0" applyFont="1" applyBorder="1"/>
    <xf numFmtId="0" fontId="2" fillId="0" borderId="7" xfId="0" applyFont="1" applyBorder="1" applyAlignment="1">
      <alignment horizontal="center" vertical="center"/>
    </xf>
    <xf numFmtId="0" fontId="2" fillId="0" borderId="8" xfId="0" applyFont="1" applyBorder="1"/>
    <xf numFmtId="0" fontId="2" fillId="0" borderId="0" xfId="0" applyFont="1"/>
    <xf numFmtId="0" fontId="2" fillId="0" borderId="8" xfId="0" applyFont="1" applyBorder="1" applyAlignment="1">
      <alignment horizontal="center"/>
    </xf>
    <xf numFmtId="166" fontId="11" fillId="43" borderId="8" xfId="1" applyNumberFormat="1" applyFont="1" applyFill="1" applyBorder="1" applyAlignment="1">
      <alignment horizontal="center" vertical="center"/>
    </xf>
    <xf numFmtId="166" fontId="11" fillId="44" borderId="8" xfId="1" applyNumberFormat="1" applyFont="1" applyFill="1" applyBorder="1" applyAlignment="1">
      <alignment horizontal="center" vertical="center"/>
    </xf>
    <xf numFmtId="166" fontId="11" fillId="44" borderId="5" xfId="1" applyNumberFormat="1" applyFont="1" applyFill="1" applyBorder="1" applyAlignment="1">
      <alignment horizontal="center" vertical="center"/>
    </xf>
    <xf numFmtId="0" fontId="1" fillId="0" borderId="8" xfId="0" applyFont="1" applyBorder="1" applyAlignment="1">
      <alignment horizontal="center" vertical="center"/>
    </xf>
    <xf numFmtId="0" fontId="1" fillId="0" borderId="7" xfId="0" applyFont="1" applyBorder="1"/>
    <xf numFmtId="0" fontId="1" fillId="0" borderId="7" xfId="0" applyFont="1" applyBorder="1" applyAlignment="1">
      <alignment horizontal="center" vertical="center"/>
    </xf>
    <xf numFmtId="0" fontId="1" fillId="0" borderId="8" xfId="0" applyFont="1" applyBorder="1"/>
    <xf numFmtId="0" fontId="1" fillId="0" borderId="0" xfId="0" applyFont="1"/>
    <xf numFmtId="0" fontId="1" fillId="0" borderId="8" xfId="0" applyFont="1" applyBorder="1" applyAlignment="1">
      <alignment horizontal="center"/>
    </xf>
    <xf numFmtId="49" fontId="72" fillId="45" borderId="8" xfId="0" applyNumberFormat="1" applyFont="1" applyFill="1" applyBorder="1" applyAlignment="1">
      <alignment horizontal="center" vertical="center" wrapText="1"/>
    </xf>
    <xf numFmtId="0" fontId="0" fillId="0" borderId="8" xfId="0" applyBorder="1"/>
    <xf numFmtId="0" fontId="67" fillId="13" borderId="8" xfId="0" applyFont="1" applyFill="1" applyBorder="1" applyAlignment="1">
      <alignment horizontal="center"/>
    </xf>
    <xf numFmtId="0" fontId="68" fillId="13" borderId="8" xfId="0" applyFont="1" applyFill="1" applyBorder="1" applyAlignment="1">
      <alignment horizontal="center"/>
    </xf>
    <xf numFmtId="177" fontId="0" fillId="13" borderId="8" xfId="0" applyNumberFormat="1" applyFill="1" applyBorder="1"/>
    <xf numFmtId="164" fontId="0" fillId="13" borderId="8" xfId="2" applyFont="1" applyFill="1" applyBorder="1"/>
    <xf numFmtId="164" fontId="0" fillId="13" borderId="0" xfId="2" applyFont="1" applyFill="1"/>
    <xf numFmtId="164" fontId="70" fillId="16" borderId="0" xfId="2" applyFont="1" applyFill="1"/>
    <xf numFmtId="164" fontId="0" fillId="0" borderId="15" xfId="2" applyFont="1" applyBorder="1"/>
    <xf numFmtId="0" fontId="0" fillId="20" borderId="8" xfId="0" applyFill="1" applyBorder="1" applyAlignment="1">
      <alignment horizontal="center" wrapText="1"/>
    </xf>
    <xf numFmtId="0" fontId="0" fillId="20" borderId="8" xfId="0" applyFill="1" applyBorder="1" applyAlignment="1">
      <alignment horizontal="center"/>
    </xf>
    <xf numFmtId="0" fontId="8" fillId="3" borderId="2" xfId="1" applyFont="1" applyFill="1" applyBorder="1" applyAlignment="1">
      <alignment horizontal="center" vertical="center"/>
    </xf>
    <xf numFmtId="0" fontId="8" fillId="3" borderId="3" xfId="1" applyFont="1" applyFill="1" applyBorder="1" applyAlignment="1">
      <alignment horizontal="center" vertical="center"/>
    </xf>
    <xf numFmtId="0" fontId="8" fillId="3" borderId="12" xfId="1" applyFont="1" applyFill="1" applyBorder="1" applyAlignment="1">
      <alignment horizontal="center" vertical="center"/>
    </xf>
    <xf numFmtId="0" fontId="8" fillId="3" borderId="4" xfId="1" applyFont="1" applyFill="1" applyBorder="1" applyAlignment="1">
      <alignment horizontal="center" vertical="center"/>
    </xf>
    <xf numFmtId="0" fontId="16" fillId="6" borderId="27" xfId="1" applyFont="1" applyFill="1" applyBorder="1" applyAlignment="1">
      <alignment horizontal="left" vertical="top" wrapText="1"/>
    </xf>
    <xf numFmtId="0" fontId="17" fillId="6" borderId="0" xfId="1" applyFont="1" applyFill="1" applyAlignment="1">
      <alignment horizontal="left" vertical="top" wrapText="1"/>
    </xf>
    <xf numFmtId="0" fontId="17" fillId="6" borderId="27" xfId="1" applyFont="1" applyFill="1" applyBorder="1" applyAlignment="1">
      <alignment horizontal="left" vertical="top" wrapText="1"/>
    </xf>
    <xf numFmtId="0" fontId="0" fillId="8" borderId="0" xfId="0" applyFill="1" applyAlignment="1">
      <alignment horizontal="center" wrapText="1"/>
    </xf>
    <xf numFmtId="0" fontId="0" fillId="8" borderId="0" xfId="0" applyFill="1" applyAlignment="1">
      <alignment horizontal="center"/>
    </xf>
    <xf numFmtId="0" fontId="0" fillId="19" borderId="0" xfId="0" applyFill="1" applyAlignment="1">
      <alignment horizontal="center" wrapText="1"/>
    </xf>
    <xf numFmtId="0" fontId="14" fillId="0" borderId="23" xfId="1" applyFont="1" applyBorder="1" applyAlignment="1">
      <alignment horizontal="left" vertical="center"/>
    </xf>
    <xf numFmtId="0" fontId="14" fillId="0" borderId="26" xfId="1" applyFont="1" applyBorder="1" applyAlignment="1">
      <alignment horizontal="left" vertical="center"/>
    </xf>
    <xf numFmtId="0" fontId="14" fillId="0" borderId="24" xfId="1" applyFont="1" applyBorder="1" applyAlignment="1">
      <alignment horizontal="left" vertical="center"/>
    </xf>
    <xf numFmtId="0" fontId="8" fillId="2" borderId="11" xfId="1" applyFont="1" applyFill="1" applyBorder="1" applyAlignment="1">
      <alignment horizontal="center" vertical="center"/>
    </xf>
    <xf numFmtId="0" fontId="8" fillId="3" borderId="13" xfId="1" applyFont="1" applyFill="1" applyBorder="1" applyAlignment="1">
      <alignment horizontal="center" vertical="center"/>
    </xf>
    <xf numFmtId="0" fontId="8" fillId="3" borderId="14" xfId="1" applyFont="1" applyFill="1" applyBorder="1" applyAlignment="1">
      <alignment horizontal="center" vertical="center"/>
    </xf>
    <xf numFmtId="0" fontId="8" fillId="11" borderId="1" xfId="1" applyFont="1" applyFill="1" applyBorder="1" applyAlignment="1">
      <alignment horizontal="center" vertical="center"/>
    </xf>
    <xf numFmtId="0" fontId="8" fillId="11" borderId="11" xfId="1" applyFont="1" applyFill="1" applyBorder="1" applyAlignment="1">
      <alignment horizontal="center" vertical="center"/>
    </xf>
    <xf numFmtId="0" fontId="8" fillId="14" borderId="1" xfId="1" applyFont="1" applyFill="1" applyBorder="1" applyAlignment="1">
      <alignment horizontal="center" vertical="center"/>
    </xf>
    <xf numFmtId="0" fontId="11" fillId="6" borderId="1" xfId="1" applyFont="1" applyFill="1" applyBorder="1" applyAlignment="1">
      <alignment horizontal="left" vertical="center" wrapText="1"/>
    </xf>
    <xf numFmtId="0" fontId="10" fillId="4" borderId="0" xfId="1" applyFont="1" applyFill="1" applyAlignment="1">
      <alignment horizontal="center" vertical="center"/>
    </xf>
    <xf numFmtId="0" fontId="8" fillId="14" borderId="11" xfId="1" applyFont="1" applyFill="1" applyBorder="1" applyAlignment="1">
      <alignment horizontal="center" vertical="center"/>
    </xf>
    <xf numFmtId="166" fontId="12" fillId="17" borderId="23" xfId="1" applyNumberFormat="1" applyFont="1" applyFill="1" applyBorder="1" applyAlignment="1">
      <alignment horizontal="center" vertical="center"/>
    </xf>
    <xf numFmtId="166" fontId="12" fillId="17" borderId="24" xfId="1" applyNumberFormat="1" applyFont="1" applyFill="1" applyBorder="1" applyAlignment="1">
      <alignment horizontal="center" vertical="center"/>
    </xf>
    <xf numFmtId="0" fontId="8" fillId="2" borderId="1" xfId="1" applyFont="1" applyFill="1" applyBorder="1" applyAlignment="1">
      <alignment horizontal="center" vertical="center"/>
    </xf>
    <xf numFmtId="0" fontId="8" fillId="3" borderId="8" xfId="1" applyFont="1" applyFill="1" applyBorder="1" applyAlignment="1">
      <alignment horizontal="center" vertical="center"/>
    </xf>
    <xf numFmtId="0" fontId="15" fillId="6" borderId="27" xfId="1" applyFont="1" applyFill="1" applyBorder="1" applyAlignment="1">
      <alignment horizontal="left" vertical="top" wrapText="1"/>
    </xf>
    <xf numFmtId="14" fontId="31" fillId="26" borderId="34" xfId="1" applyNumberFormat="1" applyFont="1" applyFill="1" applyBorder="1" applyAlignment="1">
      <alignment horizontal="center" vertical="center"/>
    </xf>
    <xf numFmtId="14" fontId="31" fillId="26" borderId="35" xfId="1" applyNumberFormat="1" applyFont="1" applyFill="1" applyBorder="1" applyAlignment="1">
      <alignment horizontal="center" vertical="center"/>
    </xf>
    <xf numFmtId="14" fontId="31" fillId="29" borderId="8" xfId="1" applyNumberFormat="1" applyFont="1" applyFill="1" applyBorder="1" applyAlignment="1">
      <alignment horizontal="center" vertical="center" wrapText="1"/>
    </xf>
    <xf numFmtId="0" fontId="24" fillId="16" borderId="28" xfId="1" applyFont="1" applyFill="1" applyBorder="1" applyAlignment="1">
      <alignment horizontal="center" vertical="center"/>
    </xf>
    <xf numFmtId="0" fontId="25" fillId="16" borderId="29" xfId="1" applyFont="1" applyFill="1" applyBorder="1" applyAlignment="1">
      <alignment horizontal="center" vertical="center" wrapText="1"/>
    </xf>
    <xf numFmtId="14" fontId="31" fillId="27" borderId="8" xfId="1" applyNumberFormat="1" applyFont="1" applyFill="1" applyBorder="1" applyAlignment="1">
      <alignment horizontal="center" vertical="center" wrapText="1"/>
    </xf>
    <xf numFmtId="167" fontId="33" fillId="0" borderId="8" xfId="1" applyNumberFormat="1" applyFont="1" applyBorder="1" applyAlignment="1">
      <alignment horizontal="center" vertical="center"/>
    </xf>
    <xf numFmtId="167" fontId="35" fillId="13" borderId="10" xfId="1" applyNumberFormat="1" applyFont="1" applyFill="1" applyBorder="1" applyAlignment="1">
      <alignment horizontal="center"/>
    </xf>
    <xf numFmtId="167" fontId="35" fillId="13" borderId="38" xfId="1" applyNumberFormat="1" applyFont="1" applyFill="1" applyBorder="1" applyAlignment="1">
      <alignment horizontal="center"/>
    </xf>
    <xf numFmtId="167" fontId="33" fillId="12" borderId="7" xfId="1" applyNumberFormat="1" applyFont="1" applyFill="1" applyBorder="1" applyAlignment="1">
      <alignment horizontal="center"/>
    </xf>
    <xf numFmtId="167" fontId="33" fillId="12" borderId="39" xfId="1" applyNumberFormat="1" applyFont="1" applyFill="1" applyBorder="1" applyAlignment="1">
      <alignment horizontal="center"/>
    </xf>
    <xf numFmtId="14" fontId="31" fillId="26" borderId="41" xfId="1" applyNumberFormat="1" applyFont="1" applyFill="1" applyBorder="1" applyAlignment="1">
      <alignment horizontal="center" vertical="center"/>
    </xf>
    <xf numFmtId="14" fontId="31" fillId="26" borderId="42" xfId="1" applyNumberFormat="1" applyFont="1" applyFill="1" applyBorder="1" applyAlignment="1">
      <alignment horizontal="center" vertical="center"/>
    </xf>
    <xf numFmtId="14" fontId="31" fillId="29" borderId="7" xfId="1" applyNumberFormat="1" applyFont="1" applyFill="1" applyBorder="1" applyAlignment="1">
      <alignment horizontal="center" vertical="center" wrapText="1"/>
    </xf>
    <xf numFmtId="14" fontId="31" fillId="29" borderId="16" xfId="1" applyNumberFormat="1" applyFont="1" applyFill="1" applyBorder="1" applyAlignment="1">
      <alignment horizontal="center" vertical="center" wrapText="1"/>
    </xf>
    <xf numFmtId="14" fontId="31" fillId="29" borderId="39" xfId="1" applyNumberFormat="1" applyFont="1" applyFill="1" applyBorder="1" applyAlignment="1">
      <alignment horizontal="center" vertical="center" wrapText="1"/>
    </xf>
    <xf numFmtId="167" fontId="33" fillId="0" borderId="7" xfId="1" applyNumberFormat="1" applyFont="1" applyBorder="1" applyAlignment="1">
      <alignment horizontal="center" vertical="center"/>
    </xf>
    <xf numFmtId="167" fontId="33" fillId="0" borderId="16" xfId="1" applyNumberFormat="1" applyFont="1" applyBorder="1" applyAlignment="1">
      <alignment horizontal="center" vertical="center"/>
    </xf>
    <xf numFmtId="167" fontId="33" fillId="0" borderId="39" xfId="1" applyNumberFormat="1" applyFont="1" applyBorder="1" applyAlignment="1">
      <alignment horizontal="center" vertical="center"/>
    </xf>
    <xf numFmtId="167" fontId="35" fillId="13" borderId="7" xfId="1" applyNumberFormat="1" applyFont="1" applyFill="1" applyBorder="1" applyAlignment="1">
      <alignment horizontal="center"/>
    </xf>
    <xf numFmtId="167" fontId="35" fillId="13" borderId="39" xfId="1" applyNumberFormat="1" applyFont="1" applyFill="1" applyBorder="1" applyAlignment="1">
      <alignment horizontal="center"/>
    </xf>
    <xf numFmtId="3" fontId="48" fillId="26" borderId="46" xfId="1" applyNumberFormat="1" applyFont="1" applyFill="1" applyBorder="1" applyAlignment="1">
      <alignment horizontal="center" vertical="center"/>
    </xf>
    <xf numFmtId="3" fontId="48" fillId="26" borderId="47" xfId="1" applyNumberFormat="1" applyFont="1" applyFill="1" applyBorder="1" applyAlignment="1">
      <alignment horizontal="center" vertical="center"/>
    </xf>
    <xf numFmtId="3" fontId="48" fillId="26" borderId="48" xfId="1" applyNumberFormat="1" applyFont="1" applyFill="1" applyBorder="1" applyAlignment="1">
      <alignment horizontal="center" vertical="center"/>
    </xf>
    <xf numFmtId="3" fontId="48" fillId="26" borderId="49" xfId="1" applyNumberFormat="1" applyFont="1" applyFill="1" applyBorder="1" applyAlignment="1">
      <alignment horizontal="center" vertical="center"/>
    </xf>
    <xf numFmtId="3" fontId="48" fillId="26" borderId="50" xfId="1" applyNumberFormat="1" applyFont="1" applyFill="1" applyBorder="1" applyAlignment="1">
      <alignment horizontal="center" vertical="center"/>
    </xf>
    <xf numFmtId="3" fontId="48" fillId="26" borderId="51" xfId="1" applyNumberFormat="1" applyFont="1" applyFill="1" applyBorder="1" applyAlignment="1">
      <alignment horizontal="center" vertical="center"/>
    </xf>
    <xf numFmtId="3" fontId="65" fillId="0" borderId="0" xfId="1" applyNumberFormat="1" applyFont="1" applyAlignment="1">
      <alignment horizontal="center" vertical="center"/>
    </xf>
    <xf numFmtId="0" fontId="25" fillId="26" borderId="58" xfId="1" applyFont="1" applyFill="1" applyBorder="1" applyAlignment="1">
      <alignment horizontal="center" vertical="center" wrapText="1"/>
    </xf>
    <xf numFmtId="0" fontId="25" fillId="26" borderId="59" xfId="1" applyFont="1" applyFill="1" applyBorder="1" applyAlignment="1">
      <alignment horizontal="center" vertical="center" wrapText="1"/>
    </xf>
    <xf numFmtId="0" fontId="59" fillId="36" borderId="29" xfId="1" applyFont="1" applyFill="1" applyBorder="1" applyAlignment="1">
      <alignment horizontal="center" vertical="center"/>
    </xf>
    <xf numFmtId="3" fontId="59" fillId="41" borderId="29" xfId="1" applyNumberFormat="1" applyFont="1" applyFill="1" applyBorder="1" applyAlignment="1">
      <alignment horizontal="center" vertical="center"/>
    </xf>
    <xf numFmtId="3" fontId="59" fillId="36" borderId="29" xfId="1" applyNumberFormat="1" applyFont="1" applyFill="1" applyBorder="1" applyAlignment="1">
      <alignment horizontal="center" vertical="center"/>
    </xf>
    <xf numFmtId="0" fontId="60" fillId="0" borderId="60" xfId="1" applyFont="1" applyBorder="1" applyAlignment="1">
      <alignment horizontal="center" vertical="center"/>
    </xf>
    <xf numFmtId="176" fontId="61" fillId="0" borderId="60" xfId="5" applyNumberFormat="1" applyFont="1" applyFill="1" applyBorder="1" applyAlignment="1" applyProtection="1">
      <alignment horizontal="center" vertical="center"/>
    </xf>
    <xf numFmtId="14" fontId="28" fillId="35" borderId="52" xfId="1" applyNumberFormat="1" applyFont="1" applyFill="1" applyBorder="1" applyAlignment="1">
      <alignment horizontal="center" vertical="center"/>
    </xf>
    <xf numFmtId="14" fontId="28" fillId="35" borderId="53" xfId="1" applyNumberFormat="1" applyFont="1" applyFill="1" applyBorder="1" applyAlignment="1">
      <alignment horizontal="center" vertical="center"/>
    </xf>
    <xf numFmtId="0" fontId="63" fillId="0" borderId="0" xfId="1" applyFont="1" applyAlignment="1">
      <alignment horizontal="center"/>
    </xf>
    <xf numFmtId="0" fontId="7" fillId="0" borderId="0" xfId="1" applyAlignment="1">
      <alignment horizontal="center"/>
    </xf>
    <xf numFmtId="164" fontId="74" fillId="13" borderId="8" xfId="2" applyFont="1" applyFill="1" applyBorder="1" applyAlignment="1">
      <alignment horizontal="center" vertical="center"/>
    </xf>
    <xf numFmtId="14" fontId="73" fillId="13" borderId="8" xfId="0" applyNumberFormat="1" applyFont="1" applyFill="1" applyBorder="1" applyAlignment="1">
      <alignment horizontal="center"/>
    </xf>
    <xf numFmtId="0" fontId="67" fillId="0" borderId="8" xfId="0" applyFont="1" applyBorder="1" applyAlignment="1">
      <alignment horizontal="center"/>
    </xf>
    <xf numFmtId="0" fontId="67" fillId="0" borderId="8" xfId="0" applyFont="1" applyBorder="1" applyAlignment="1">
      <alignment horizontal="center" wrapText="1"/>
    </xf>
    <xf numFmtId="0" fontId="67" fillId="13" borderId="8" xfId="0" applyFont="1" applyFill="1" applyBorder="1" applyAlignment="1">
      <alignment horizontal="center" wrapText="1"/>
    </xf>
  </cellXfs>
  <cellStyles count="6">
    <cellStyle name="Millares 2" xfId="5" xr:uid="{3C271B91-864D-5B47-A8AE-1909E7AD8804}"/>
    <cellStyle name="Moneda [0]" xfId="2" builtinId="7"/>
    <cellStyle name="Moneda [0] 2" xfId="4" xr:uid="{7A277797-B9EF-4B4D-A6E1-B2F48D199ED8}"/>
    <cellStyle name="Moneda 2" xfId="3" xr:uid="{8C4751C9-2751-9A40-896C-B1767FEB86D9}"/>
    <cellStyle name="Normal" xfId="0" builtinId="0"/>
    <cellStyle name="Normal 2" xfId="1" xr:uid="{664C3131-864A-B941-AE29-7F464EE26F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2.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2104571</xdr:colOff>
      <xdr:row>167</xdr:row>
      <xdr:rowOff>290286</xdr:rowOff>
    </xdr:from>
    <xdr:to>
      <xdr:col>5</xdr:col>
      <xdr:colOff>4161971</xdr:colOff>
      <xdr:row>169</xdr:row>
      <xdr:rowOff>92529</xdr:rowOff>
    </xdr:to>
    <xdr:pic>
      <xdr:nvPicPr>
        <xdr:cNvPr id="2" name="Imagen 1">
          <a:extLst>
            <a:ext uri="{FF2B5EF4-FFF2-40B4-BE49-F238E27FC236}">
              <a16:creationId xmlns:a16="http://schemas.microsoft.com/office/drawing/2014/main" id="{868801C2-5889-E766-6136-B10D1A00623A}"/>
            </a:ext>
          </a:extLst>
        </xdr:cNvPr>
        <xdr:cNvPicPr>
          <a:picLocks noChangeAspect="1"/>
        </xdr:cNvPicPr>
      </xdr:nvPicPr>
      <xdr:blipFill>
        <a:blip xmlns:r="http://schemas.openxmlformats.org/officeDocument/2006/relationships" r:embed="rId1"/>
        <a:stretch>
          <a:fillRect/>
        </a:stretch>
      </xdr:blipFill>
      <xdr:spPr>
        <a:xfrm>
          <a:off x="13208000" y="105029000"/>
          <a:ext cx="2057400" cy="927100"/>
        </a:xfrm>
        <a:prstGeom prst="rect">
          <a:avLst/>
        </a:prstGeom>
      </xdr:spPr>
    </xdr:pic>
    <xdr:clientData/>
  </xdr:twoCellAnchor>
  <xdr:twoCellAnchor editAs="oneCell">
    <xdr:from>
      <xdr:col>4</xdr:col>
      <xdr:colOff>1886857</xdr:colOff>
      <xdr:row>167</xdr:row>
      <xdr:rowOff>235858</xdr:rowOff>
    </xdr:from>
    <xdr:to>
      <xdr:col>4</xdr:col>
      <xdr:colOff>4096657</xdr:colOff>
      <xdr:row>169</xdr:row>
      <xdr:rowOff>38101</xdr:rowOff>
    </xdr:to>
    <xdr:pic>
      <xdr:nvPicPr>
        <xdr:cNvPr id="3" name="Imagen 2">
          <a:extLst>
            <a:ext uri="{FF2B5EF4-FFF2-40B4-BE49-F238E27FC236}">
              <a16:creationId xmlns:a16="http://schemas.microsoft.com/office/drawing/2014/main" id="{E7888EEF-041D-CE20-D891-A3C9CE4476A2}"/>
            </a:ext>
          </a:extLst>
        </xdr:cNvPr>
        <xdr:cNvPicPr>
          <a:picLocks noChangeAspect="1"/>
        </xdr:cNvPicPr>
      </xdr:nvPicPr>
      <xdr:blipFill>
        <a:blip xmlns:r="http://schemas.openxmlformats.org/officeDocument/2006/relationships" r:embed="rId2"/>
        <a:stretch>
          <a:fillRect/>
        </a:stretch>
      </xdr:blipFill>
      <xdr:spPr>
        <a:xfrm>
          <a:off x="8563428" y="104974572"/>
          <a:ext cx="2209800" cy="9271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PROGRAMACION%20DE%20SERVICIOS%20%20SEP%20A%20DICIEMBRE%20(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JULIO/SOLICITUD%20DE%20SERVICIOS%20JUVENTUD%201%20JULI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libardo.sanchez/Desktop/CICLOV&#205;A/2019/CONTRATOS/CTO%203053%20-%202019/SOLICITUDES%20ACTIVA%20365/JULIO/SOLICITUD%20DE%20SERVICIOS%20JUVENTUD%201%20JULI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SEPTIEMBRE/SOLICITUD%20SERVICIOS%20FESTIPARQUE%2015%20SEPTIEMBR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JULIO/SOLICITUD%20SERVICIOS%20INCLUYENTE%2031%20JULI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JULIO/SOLICITUD%20SERVICIOS%20JUVENTUD%2031%20JULIO%20Y%202%20AGOST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dew24/Desktop/1.PROGRAMACIONMENSUALDESERVICIOSV12%20ACTIVIDAD%20ESCUELA%20DE%20LA%20BICICLETA%20-%20BOSA%20-%20PORVENIR.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TEC/SOLICITUD%20DE%20SERVICIOS%20TEC%203%20Y%204%20DE%20SEPTIEMBRE.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Volumes/LUIS%20M/40ENTENA/EVIDENCIAS/2023/PROGRAMACIO&#769;N%20SERVICIOS%20LOGISTIC%20SAS/8.%20Marzo/PREFACTURA%20DE%20MARZO.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40ENTENA\EVIDENCIAS\2022\PROGRAMACI&#211;N%20SERVICIOS%20LOGISTIC%20SAS\1.Agosto&#61480;\PREFACTURA%20AGOSTO%2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40ENTENA\EVIDENCIAS\2022\PROGRAMACI&#211;N%20SERVICIOS%20LOGISTIC%20SAS\4.%20Noviembre\PREFACTURA%20NOVIEMBRE.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40ENTENA\EVIDENCIAS\2023\PROGRAMACI&#211;N%20SERVICIOS%20LOGISTIC%20SAS\5.%20Diciembre\PREFACTURA%20DICIEMBRE2.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Volumes/LUIS%20M/40ENTENA/EVIDENCIAS/2023/PROGRAMACIO&#769;N%20SERVICIOS%20LOGISTIC%20SAS/9.%20Abril/PREFACTURA%20ABRIL.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Volumes/LUIS%20M/40ENTENA/EVIDENCIAS/2023/PROGRAMACIO&#769;N%20SERVICIOS%20LOGISTIC%20SAS/10.%20Mayo/Prefactura%20May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L SERV"/>
      <sheetName val="DATOS"/>
    </sheetNames>
    <sheetDataSet>
      <sheetData sheetId="0"/>
      <sheetData sheetId="1">
        <row r="3">
          <cell r="D3" t="str">
            <v>DEPORTES - DEPORTE MEJOR PARA TODOS</v>
          </cell>
        </row>
        <row r="4">
          <cell r="D4" t="str">
            <v>DEPORTES - RENDIMIENTO DEPORTIVO AL 100 X 100</v>
          </cell>
          <cell r="H4" t="str">
            <v>1. MUÉVETE BOGOTÁ</v>
          </cell>
        </row>
        <row r="5">
          <cell r="D5" t="str">
            <v>DEPORTES - TIEMPO ESCOLAR COMPLEMENTARIO</v>
          </cell>
          <cell r="H5" t="str">
            <v>2. DEPORTE ESCOLAR</v>
          </cell>
        </row>
        <row r="6">
          <cell r="D6" t="str">
            <v>RECREACIÓN - RECREACIÓN ACTIVA 365</v>
          </cell>
          <cell r="H6" t="str">
            <v>3.1. AP CERT DEP 
Nuevas Tendencias Deportivas</v>
          </cell>
        </row>
        <row r="7">
          <cell r="H7" t="str">
            <v xml:space="preserve">3.2. AP CERT DEP 
Bogotá Corre Mejor para Todos </v>
          </cell>
        </row>
        <row r="8">
          <cell r="H8" t="str">
            <v xml:space="preserve">3.3. AP CERT DEP 
Eventos Deportivos                                                                             </v>
          </cell>
        </row>
        <row r="9">
          <cell r="H9" t="str">
            <v>4. FESTIVAL DE VERANO</v>
          </cell>
        </row>
        <row r="10">
          <cell r="H10" t="str">
            <v>5.1. ESC DEP 
Escuelas de mi Barrio</v>
          </cell>
        </row>
        <row r="11">
          <cell r="H11" t="str">
            <v>5.2 ESC DEP 
Escuelas de Natación Convenio</v>
          </cell>
        </row>
        <row r="12">
          <cell r="H12" t="str">
            <v>5.3 ESC DEP 
Escuelas de natación CASB</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3">
          <cell r="D3" t="str">
            <v>DEPORTES - DEPORTE MEJOR PARA TODOS</v>
          </cell>
        </row>
        <row r="4">
          <cell r="D4" t="str">
            <v>DEPORTES - RENDIMIENTO DEPORTIVO AL 100 X 100</v>
          </cell>
          <cell r="H4" t="str">
            <v>1. MUÉVETE BOGOTÁ</v>
          </cell>
          <cell r="I4" t="str">
            <v>1.1. REND DEP 
Desarrollo Técnico y Social</v>
          </cell>
          <cell r="J4" t="str">
            <v>1. CICLOVÍA</v>
          </cell>
          <cell r="K4" t="str">
            <v>1. SESIONES DE CLASE</v>
          </cell>
        </row>
        <row r="5">
          <cell r="D5" t="str">
            <v>DEPORTES - TIEMPO ESCOLAR COMPLEMENTARIO</v>
          </cell>
          <cell r="H5" t="str">
            <v>2. DEPORTE ESCOLAR</v>
          </cell>
          <cell r="I5" t="str">
            <v>1.2. REND DEP 
Medicina y Ciencias Aplicadas</v>
          </cell>
          <cell r="J5" t="str">
            <v>1.1. CICLOVÍA
Cicloexperiencias</v>
          </cell>
          <cell r="K5" t="str">
            <v>2.1. EV DEP Fest Dep Intramurales</v>
          </cell>
        </row>
        <row r="6">
          <cell r="D6" t="str">
            <v>RECREACIÓN - RECREACIÓN ACTIVA 365</v>
          </cell>
          <cell r="H6" t="str">
            <v>3.1. AP CERT DEP 
Nuevas Tendencias Deportivas</v>
          </cell>
          <cell r="I6" t="str">
            <v>2. APOYO GESTIÓN DE LIGAS</v>
          </cell>
          <cell r="J6" t="str">
            <v>2. RECREOVÍA</v>
          </cell>
          <cell r="K6" t="str">
            <v>2.2. EV DEP 
Fest Dep Inter IED</v>
          </cell>
        </row>
        <row r="7">
          <cell r="H7" t="str">
            <v xml:space="preserve">3.2. AP CERT DEP 
Bogotá Corre Mejor para Todos </v>
          </cell>
          <cell r="I7" t="str">
            <v>3. CENTROS DE PERFECCIONAMIENTO DEPORTIVO</v>
          </cell>
          <cell r="J7" t="str">
            <v>3. EVENTOS METROPOLITANOS</v>
          </cell>
          <cell r="K7" t="str">
            <v>2.3. EV DEP 
Fest Dep de Habilidades Especificas.</v>
          </cell>
        </row>
        <row r="8">
          <cell r="H8" t="str">
            <v xml:space="preserve">3.3. AP CERT DEP 
Eventos Deportivos                                                                             </v>
          </cell>
          <cell r="I8" t="str">
            <v>4. INVESTIGACIÓN Y DESRROLLO EVOLUCIÓN ATLETAS DEL REGISTRO DE BOGOTÁ TRABAJO EN ALTURA</v>
          </cell>
          <cell r="J8" t="str">
            <v>4. RECREACIÓN PARA LA INFANCIA</v>
          </cell>
          <cell r="K8" t="str">
            <v>3. SEMILLEROS DEPORTIVOS</v>
          </cell>
        </row>
        <row r="9">
          <cell r="H9" t="str">
            <v>4. FESTIVAL DE VERANO</v>
          </cell>
          <cell r="I9" t="str">
            <v>5. MEMORIA PROGRAMA RENDIMIENTO DEPORTIVO</v>
          </cell>
          <cell r="J9" t="str">
            <v>5. RECREACIÓN PARA LA JUVENTUD</v>
          </cell>
        </row>
        <row r="10">
          <cell r="H10" t="str">
            <v>5.1. ESC DEP 
Escuelas de mi Barrio</v>
          </cell>
          <cell r="I10" t="str">
            <v>6. ELABORACIÓN DEL PROGRAMA  DE FORMACIÓN PARA EL PERSONAL TÉCNICO DEL PROYECTO</v>
          </cell>
          <cell r="J10" t="str">
            <v>6. RECREACIÓN PARA PERSONAS MAYORES</v>
          </cell>
        </row>
        <row r="11">
          <cell r="H11" t="str">
            <v>5.2 ESC DEP 
Escuelas de Natación Convenio</v>
          </cell>
          <cell r="I11" t="str">
            <v>7. APOYO A LA GESTIÓN</v>
          </cell>
          <cell r="J11" t="str">
            <v>7. RECREACIÓN INCLUYENTE</v>
          </cell>
        </row>
        <row r="12">
          <cell r="H12" t="str">
            <v>5.3 ESC DEP 
Escuelas de natación CASB</v>
          </cell>
          <cell r="J12" t="str">
            <v>8. RECREACIÓN COMUNITARIA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3">
          <cell r="D3" t="str">
            <v>DEPORTES - DEPORTE MEJOR PARA TODOS</v>
          </cell>
        </row>
        <row r="4">
          <cell r="D4" t="str">
            <v>DEPORTES - RENDIMIENTO DEPORTIVO AL 100 X 100</v>
          </cell>
          <cell r="H4" t="str">
            <v>1. MUÉVETE BOGOTÁ</v>
          </cell>
          <cell r="I4" t="str">
            <v>1.1. REND DEP 
Desarrollo Técnico y Social</v>
          </cell>
          <cell r="J4" t="str">
            <v>1. CICLOVÍA</v>
          </cell>
          <cell r="K4" t="str">
            <v>1. SESIONES DE CLASE</v>
          </cell>
        </row>
        <row r="5">
          <cell r="D5" t="str">
            <v>DEPORTES - TIEMPO ESCOLAR COMPLEMENTARIO</v>
          </cell>
          <cell r="H5" t="str">
            <v>2. DEPORTE ESCOLAR</v>
          </cell>
          <cell r="I5" t="str">
            <v>1.2. REND DEP 
Medicina y Ciencias Aplicadas</v>
          </cell>
          <cell r="J5" t="str">
            <v>1.1. CICLOVÍA
Cicloexperiencias</v>
          </cell>
          <cell r="K5" t="str">
            <v>2.1. EV DEP Fest Dep Intramurales</v>
          </cell>
        </row>
        <row r="6">
          <cell r="D6" t="str">
            <v>RECREACIÓN - RECREACIÓN ACTIVA 365</v>
          </cell>
          <cell r="H6" t="str">
            <v>3.1. AP CERT DEP 
Nuevas Tendencias Deportivas</v>
          </cell>
          <cell r="I6" t="str">
            <v>2. APOYO GESTIÓN DE LIGAS</v>
          </cell>
          <cell r="J6" t="str">
            <v>2. RECREOVÍA</v>
          </cell>
          <cell r="K6" t="str">
            <v>2.2. EV DEP 
Fest Dep Inter IED</v>
          </cell>
        </row>
        <row r="7">
          <cell r="H7" t="str">
            <v xml:space="preserve">3.2. AP CERT DEP 
Bogotá Corre Mejor para Todos </v>
          </cell>
          <cell r="I7" t="str">
            <v>3. CENTROS DE PERFECCIONAMIENTO DEPORTIVO</v>
          </cell>
          <cell r="J7" t="str">
            <v>3. EVENTOS METROPOLITANOS</v>
          </cell>
          <cell r="K7" t="str">
            <v>2.3. EV DEP 
Fest Dep de Habilidades Especificas.</v>
          </cell>
        </row>
        <row r="8">
          <cell r="H8" t="str">
            <v xml:space="preserve">3.3. AP CERT DEP 
Eventos Deportivos                                                                             </v>
          </cell>
          <cell r="I8" t="str">
            <v>4. INVESTIGACIÓN Y DESRROLLO EVOLUCIÓN ATLETAS DEL REGISTRO DE BOGOTÁ TRABAJO EN ALTURA</v>
          </cell>
          <cell r="J8" t="str">
            <v>4. RECREACIÓN PARA LA INFANCIA</v>
          </cell>
          <cell r="K8" t="str">
            <v>3. SEMILLEROS DEPORTIVOS</v>
          </cell>
        </row>
        <row r="9">
          <cell r="H9" t="str">
            <v>4. FESTIVAL DE VERANO</v>
          </cell>
          <cell r="I9" t="str">
            <v>5. MEMORIA PROGRAMA RENDIMIENTO DEPORTIVO</v>
          </cell>
          <cell r="J9" t="str">
            <v>5. RECREACIÓN PARA LA JUVENTUD</v>
          </cell>
        </row>
        <row r="10">
          <cell r="H10" t="str">
            <v>5.1. ESC DEP 
Escuelas de mi Barrio</v>
          </cell>
          <cell r="I10" t="str">
            <v>6. ELABORACIÓN DEL PROGRAMA  DE FORMACIÓN PARA EL PERSONAL TÉCNICO DEL PROYECTO</v>
          </cell>
          <cell r="J10" t="str">
            <v>6. RECREACIÓN PARA PERSONAS MAYORES</v>
          </cell>
        </row>
        <row r="11">
          <cell r="H11" t="str">
            <v>5.2 ESC DEP 
Escuelas de Natación Convenio</v>
          </cell>
          <cell r="I11" t="str">
            <v>7. APOYO A LA GESTIÓN</v>
          </cell>
          <cell r="J11" t="str">
            <v>7. RECREACIÓN INCLUYENTE</v>
          </cell>
        </row>
        <row r="12">
          <cell r="H12" t="str">
            <v>5.3 ESC DEP 
Escuelas de natación CASB</v>
          </cell>
          <cell r="J12" t="str">
            <v>8. RECREACIÓN COMUNITARIA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4">
          <cell r="K4" t="str">
            <v>1. SESIONES DE CLASE</v>
          </cell>
        </row>
        <row r="5">
          <cell r="K5" t="str">
            <v>2.1. EV DEP Fest Dep Intramurales</v>
          </cell>
        </row>
        <row r="6">
          <cell r="K6" t="str">
            <v>2.2. EV DEP 
Fest Dep Inter IED</v>
          </cell>
        </row>
        <row r="7">
          <cell r="K7" t="str">
            <v>2.3. EV DEP 
Fest Dep de Habilidades Especificas.</v>
          </cell>
        </row>
        <row r="8">
          <cell r="K8" t="str">
            <v>3. SEMILLEROS DEPORTIVOS</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 val="DATOS"/>
    </sheetNames>
    <sheetDataSet>
      <sheetData sheetId="0"/>
      <sheetData sheetId="1">
        <row r="4">
          <cell r="H4" t="str">
            <v>1. MUÉVETE BOGOTÁ</v>
          </cell>
          <cell r="J4" t="str">
            <v>1. CICLOVÍA</v>
          </cell>
        </row>
        <row r="5">
          <cell r="H5" t="str">
            <v>2. DEPORTE ESCOLAR</v>
          </cell>
          <cell r="J5" t="str">
            <v>1.1. CICLOVÍA
Cicloexperiencias</v>
          </cell>
        </row>
        <row r="6">
          <cell r="H6" t="str">
            <v>3.1. AP CERT DEP 
Nuevas Tendencias Deportivas</v>
          </cell>
          <cell r="J6" t="str">
            <v>2. RECREOVÍA</v>
          </cell>
        </row>
        <row r="7">
          <cell r="H7" t="str">
            <v xml:space="preserve">3.2. AP CERT DEP 
Bogotá Corre Mejor para Todos </v>
          </cell>
          <cell r="J7" t="str">
            <v>3. EVENTOS METROPOLITANOS</v>
          </cell>
        </row>
        <row r="8">
          <cell r="H8" t="str">
            <v xml:space="preserve">3.3. AP CERT DEP 
Eventos Deportivos                                                                             </v>
          </cell>
          <cell r="J8" t="str">
            <v>4. RECREACIÓN PARA LA INFANCIA</v>
          </cell>
        </row>
        <row r="9">
          <cell r="H9" t="str">
            <v>4. FESTIVAL DE VERANO</v>
          </cell>
          <cell r="J9" t="str">
            <v>5. RECREACIÓN PARA LA JUVENTUD</v>
          </cell>
        </row>
        <row r="10">
          <cell r="H10" t="str">
            <v>5.1. ESC DEP 
Escuelas de mi Barrio</v>
          </cell>
          <cell r="J10" t="str">
            <v>6. RECREACIÓN PARA PERSONAS MAYORES</v>
          </cell>
        </row>
        <row r="11">
          <cell r="H11" t="str">
            <v>5.2 ESC DEP 
Escuelas de Natación Convenio</v>
          </cell>
          <cell r="J11" t="str">
            <v>7. RECREACIÓN INCLUYENTE</v>
          </cell>
        </row>
        <row r="12">
          <cell r="H12" t="str">
            <v>5.3 ESC DEP 
Escuelas de natación CASB</v>
          </cell>
          <cell r="J12" t="str">
            <v>8. RECREACIÓN COMUNITARIA</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4">
          <cell r="J4" t="str">
            <v>1. CICLOVÍA</v>
          </cell>
        </row>
        <row r="5">
          <cell r="J5" t="str">
            <v>1.1. CICLOVÍA
Cicloexperiencias</v>
          </cell>
        </row>
        <row r="6">
          <cell r="J6" t="str">
            <v>2. RECREOVÍA</v>
          </cell>
        </row>
        <row r="7">
          <cell r="J7" t="str">
            <v>3. EVENTOS METROPOLITANOS</v>
          </cell>
        </row>
        <row r="8">
          <cell r="J8" t="str">
            <v>4. RECREACIÓN PARA LA INFANCIA</v>
          </cell>
        </row>
        <row r="9">
          <cell r="J9" t="str">
            <v>5. RECREACIÓN PARA LA JUVENTUD</v>
          </cell>
        </row>
        <row r="10">
          <cell r="J10" t="str">
            <v>6. RECREACIÓN PARA PERSONAS MAYORES</v>
          </cell>
        </row>
        <row r="11">
          <cell r="J11" t="str">
            <v>7. RECREACIÓN INCLUYENTE</v>
          </cell>
        </row>
        <row r="12">
          <cell r="J12" t="str">
            <v>8. RECREACIÓN COMUNITARIA</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3">
          <cell r="D3" t="str">
            <v>DEPORTES - DEPORTE MEJOR PARA TODOS</v>
          </cell>
        </row>
        <row r="4">
          <cell r="D4" t="str">
            <v>DEPORTES - RENDIMIENTO DEPORTIVO AL 100 X 100</v>
          </cell>
        </row>
        <row r="5">
          <cell r="D5" t="str">
            <v>DEPORTES - TIEMPO ESCOLAR COMPLEMENTARIO</v>
          </cell>
        </row>
        <row r="6">
          <cell r="D6" t="str">
            <v>RECREACIÓN - RECREACIÓN ACTIVA 365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 val="Hoja1"/>
    </sheetNames>
    <sheetDataSet>
      <sheetData sheetId="0"/>
      <sheetData sheetId="1">
        <row r="4">
          <cell r="I4" t="str">
            <v>1.1. REND DEP 
Desarrollo Técnico y Social</v>
          </cell>
        </row>
        <row r="5">
          <cell r="I5" t="str">
            <v>1.2. REND DEP 
Medicina y Ciencias Aplicadas</v>
          </cell>
        </row>
        <row r="6">
          <cell r="I6" t="str">
            <v>2. APOYO GESTIÓN DE LIGAS</v>
          </cell>
        </row>
        <row r="7">
          <cell r="I7" t="str">
            <v>3. CENTROS DE PERFECCIONAMIENTO DEPORTIVO</v>
          </cell>
        </row>
        <row r="8">
          <cell r="I8" t="str">
            <v>4. INVESTIGACIÓN Y DESRROLLO EVOLUCIÓN ATLETAS DEL REGISTRO DE BOGOTÁ TRABAJO EN ALTURA</v>
          </cell>
        </row>
        <row r="9">
          <cell r="I9" t="str">
            <v>5. MEMORIA PROGRAMA RENDIMIENTO DEPORTIVO</v>
          </cell>
        </row>
        <row r="10">
          <cell r="I10" t="str">
            <v>6. ELABORACIÓN DEL PROGRAMA  DE FORMACIÓN PARA EL PERSONAL TÉCNICO DEL PROYECTO</v>
          </cell>
        </row>
        <row r="11">
          <cell r="I11" t="str">
            <v>7. APOYO A LA GESTIÓN</v>
          </cell>
        </row>
      </sheetData>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ILLA"/>
      <sheetName val="INFORME FINAL MARZ"/>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07 AGOSTO  "/>
      <sheetName val="11 AGOSTO"/>
      <sheetName val="14 AGOSTO "/>
      <sheetName val="15 AGOSTO"/>
      <sheetName val="21 AGOSTO"/>
      <sheetName val="28 AGOSTO"/>
      <sheetName val="HORARIOS Y BODEGAS "/>
      <sheetName val="SALDOS POR PROYECTO"/>
      <sheetName val="INFORME FINAL AGOSTO"/>
      <sheetName val="CUEN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1">
          <cell r="M11">
            <v>108410427</v>
          </cell>
        </row>
        <row r="74">
          <cell r="K74">
            <v>290841</v>
          </cell>
        </row>
        <row r="75">
          <cell r="K75">
            <v>290841</v>
          </cell>
        </row>
        <row r="76">
          <cell r="K76">
            <v>290841</v>
          </cell>
        </row>
        <row r="77">
          <cell r="K77">
            <v>290841</v>
          </cell>
        </row>
        <row r="78">
          <cell r="K78">
            <v>290841</v>
          </cell>
        </row>
        <row r="79">
          <cell r="K79">
            <v>290841</v>
          </cell>
        </row>
        <row r="80">
          <cell r="K80">
            <v>290841</v>
          </cell>
        </row>
        <row r="81">
          <cell r="K81">
            <v>290841</v>
          </cell>
        </row>
        <row r="82">
          <cell r="K82">
            <v>290841</v>
          </cell>
        </row>
        <row r="83">
          <cell r="K83">
            <v>290841</v>
          </cell>
        </row>
        <row r="84">
          <cell r="K84">
            <v>290841</v>
          </cell>
        </row>
        <row r="85">
          <cell r="K85">
            <v>386383</v>
          </cell>
        </row>
        <row r="86">
          <cell r="K86">
            <v>290841</v>
          </cell>
        </row>
        <row r="87">
          <cell r="K87">
            <v>290841</v>
          </cell>
        </row>
        <row r="88">
          <cell r="K88">
            <v>290841</v>
          </cell>
        </row>
        <row r="89">
          <cell r="K89">
            <v>290841</v>
          </cell>
        </row>
        <row r="90">
          <cell r="K90">
            <v>290841</v>
          </cell>
        </row>
        <row r="91">
          <cell r="K91">
            <v>450204</v>
          </cell>
        </row>
        <row r="92">
          <cell r="K92">
            <v>450204</v>
          </cell>
        </row>
        <row r="93">
          <cell r="K93">
            <v>386383</v>
          </cell>
        </row>
        <row r="94">
          <cell r="K94">
            <v>345928</v>
          </cell>
        </row>
        <row r="95">
          <cell r="K95">
            <v>53577</v>
          </cell>
        </row>
        <row r="96">
          <cell r="K96">
            <v>53577</v>
          </cell>
        </row>
        <row r="97">
          <cell r="K97">
            <v>53577</v>
          </cell>
        </row>
        <row r="98">
          <cell r="K98">
            <v>53577</v>
          </cell>
        </row>
        <row r="99">
          <cell r="K99">
            <v>345928</v>
          </cell>
        </row>
        <row r="100">
          <cell r="K100">
            <v>345928</v>
          </cell>
        </row>
        <row r="101">
          <cell r="K101">
            <v>236854</v>
          </cell>
        </row>
        <row r="102">
          <cell r="K102">
            <v>283531</v>
          </cell>
        </row>
        <row r="103">
          <cell r="K103">
            <v>290841</v>
          </cell>
        </row>
        <row r="104">
          <cell r="K104">
            <v>345928</v>
          </cell>
        </row>
        <row r="105">
          <cell r="K105">
            <v>290841</v>
          </cell>
        </row>
        <row r="106">
          <cell r="K106">
            <v>386383</v>
          </cell>
        </row>
        <row r="107">
          <cell r="K107">
            <v>509192</v>
          </cell>
        </row>
        <row r="108">
          <cell r="K108">
            <v>509192</v>
          </cell>
        </row>
        <row r="109">
          <cell r="K109">
            <v>509192</v>
          </cell>
        </row>
        <row r="110">
          <cell r="K110">
            <v>450204</v>
          </cell>
        </row>
        <row r="111">
          <cell r="K111">
            <v>290841</v>
          </cell>
        </row>
      </sheetData>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 NOVIEMBRE"/>
      <sheetName val="07 NOVIEMBRE "/>
      <sheetName val="13 NOVIEMBRE"/>
      <sheetName val="14 NOVIEMBRE  "/>
      <sheetName val="20 NOVIEMBRE "/>
      <sheetName val="27 NOVIEMBRE "/>
      <sheetName val="INFORME FINAL NOVIEMEBRE"/>
      <sheetName val="SALDOS POR PROYECTO"/>
    </sheetNames>
    <sheetDataSet>
      <sheetData sheetId="0" refreshError="1"/>
      <sheetData sheetId="1" refreshError="1"/>
      <sheetData sheetId="2" refreshError="1"/>
      <sheetData sheetId="3" refreshError="1"/>
      <sheetData sheetId="4" refreshError="1"/>
      <sheetData sheetId="5" refreshError="1"/>
      <sheetData sheetId="6" refreshError="1">
        <row r="70">
          <cell r="O70">
            <v>91833813</v>
          </cell>
        </row>
        <row r="73">
          <cell r="L73">
            <v>32334032</v>
          </cell>
        </row>
        <row r="74">
          <cell r="K74">
            <v>283531</v>
          </cell>
        </row>
        <row r="75">
          <cell r="K75">
            <v>509192</v>
          </cell>
        </row>
        <row r="76">
          <cell r="K76">
            <v>509192</v>
          </cell>
        </row>
        <row r="77">
          <cell r="K77">
            <v>509192</v>
          </cell>
        </row>
        <row r="78">
          <cell r="K78">
            <v>283531</v>
          </cell>
        </row>
        <row r="79">
          <cell r="K79">
            <v>283531</v>
          </cell>
        </row>
        <row r="80">
          <cell r="K80">
            <v>290841</v>
          </cell>
        </row>
        <row r="81">
          <cell r="K81">
            <v>225849</v>
          </cell>
        </row>
        <row r="82">
          <cell r="K82">
            <v>225849</v>
          </cell>
        </row>
        <row r="83">
          <cell r="K83">
            <v>236854</v>
          </cell>
        </row>
        <row r="84">
          <cell r="K84">
            <v>236854</v>
          </cell>
        </row>
        <row r="85">
          <cell r="K85">
            <v>179940</v>
          </cell>
        </row>
        <row r="86">
          <cell r="K86">
            <v>179940</v>
          </cell>
        </row>
        <row r="87">
          <cell r="K87">
            <v>179940</v>
          </cell>
        </row>
        <row r="88">
          <cell r="K88">
            <v>509192</v>
          </cell>
        </row>
        <row r="89">
          <cell r="K89">
            <v>509192</v>
          </cell>
        </row>
        <row r="90">
          <cell r="K90">
            <v>509192</v>
          </cell>
        </row>
        <row r="91">
          <cell r="K91">
            <v>509192</v>
          </cell>
        </row>
        <row r="92">
          <cell r="K92">
            <v>433978</v>
          </cell>
        </row>
        <row r="93">
          <cell r="K93">
            <v>509192</v>
          </cell>
        </row>
        <row r="94">
          <cell r="K94">
            <v>290841</v>
          </cell>
        </row>
        <row r="95">
          <cell r="K95">
            <v>433978</v>
          </cell>
        </row>
        <row r="96">
          <cell r="K96">
            <v>433978</v>
          </cell>
        </row>
        <row r="97">
          <cell r="K97">
            <v>290841</v>
          </cell>
        </row>
        <row r="98">
          <cell r="K98">
            <v>290841</v>
          </cell>
        </row>
        <row r="99">
          <cell r="K99">
            <v>179940</v>
          </cell>
        </row>
        <row r="100">
          <cell r="K100">
            <v>242399</v>
          </cell>
        </row>
        <row r="101">
          <cell r="K101">
            <v>225849</v>
          </cell>
        </row>
        <row r="102">
          <cell r="K102">
            <v>225849</v>
          </cell>
        </row>
        <row r="103">
          <cell r="K103">
            <v>236854</v>
          </cell>
        </row>
        <row r="104">
          <cell r="K104">
            <v>236854</v>
          </cell>
        </row>
        <row r="105">
          <cell r="K105">
            <v>179940</v>
          </cell>
        </row>
        <row r="106">
          <cell r="K106">
            <v>195220</v>
          </cell>
        </row>
        <row r="107">
          <cell r="K107">
            <v>225849</v>
          </cell>
        </row>
        <row r="108">
          <cell r="K108">
            <v>323189</v>
          </cell>
        </row>
        <row r="109">
          <cell r="K109">
            <v>290841</v>
          </cell>
        </row>
        <row r="110">
          <cell r="K110">
            <v>323189</v>
          </cell>
        </row>
        <row r="111">
          <cell r="K111">
            <v>290841</v>
          </cell>
        </row>
        <row r="112">
          <cell r="K112">
            <v>290841</v>
          </cell>
        </row>
        <row r="113">
          <cell r="K113">
            <v>290841</v>
          </cell>
        </row>
        <row r="114">
          <cell r="K114">
            <v>290841</v>
          </cell>
        </row>
        <row r="115">
          <cell r="K115">
            <v>290841</v>
          </cell>
        </row>
        <row r="116">
          <cell r="K116">
            <v>323189</v>
          </cell>
        </row>
        <row r="117">
          <cell r="K117">
            <v>290841</v>
          </cell>
        </row>
        <row r="118">
          <cell r="K118">
            <v>323189</v>
          </cell>
        </row>
        <row r="119">
          <cell r="K119">
            <v>290841</v>
          </cell>
        </row>
        <row r="120">
          <cell r="K120">
            <v>290841</v>
          </cell>
        </row>
        <row r="121">
          <cell r="K121">
            <v>290841</v>
          </cell>
        </row>
        <row r="122">
          <cell r="K122">
            <v>290841</v>
          </cell>
        </row>
        <row r="123">
          <cell r="K123">
            <v>290841</v>
          </cell>
        </row>
        <row r="124">
          <cell r="K124">
            <v>323463</v>
          </cell>
        </row>
        <row r="125">
          <cell r="K125">
            <v>323463</v>
          </cell>
        </row>
        <row r="126">
          <cell r="K126">
            <v>392186</v>
          </cell>
        </row>
        <row r="127">
          <cell r="K127">
            <v>392186</v>
          </cell>
        </row>
        <row r="128">
          <cell r="K128">
            <v>392186</v>
          </cell>
        </row>
        <row r="129">
          <cell r="K129">
            <v>392186</v>
          </cell>
        </row>
        <row r="130">
          <cell r="K130">
            <v>392186</v>
          </cell>
        </row>
        <row r="131">
          <cell r="K131">
            <v>392186</v>
          </cell>
        </row>
        <row r="132">
          <cell r="K132">
            <v>323463</v>
          </cell>
        </row>
        <row r="133">
          <cell r="K133">
            <v>323463</v>
          </cell>
        </row>
        <row r="134">
          <cell r="K134">
            <v>345928</v>
          </cell>
        </row>
        <row r="135">
          <cell r="K135">
            <v>345928</v>
          </cell>
        </row>
        <row r="136">
          <cell r="K136">
            <v>392186</v>
          </cell>
        </row>
      </sheetData>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3 JUNIO"/>
      <sheetName val="24 JUNIO "/>
      <sheetName val="07 AGOSTO  "/>
      <sheetName val="11 AGOSTO"/>
      <sheetName val="14 AGOSTO "/>
      <sheetName val="15 AGOSTO"/>
      <sheetName val="21 AGOSTO"/>
      <sheetName val="28 AGOSTO"/>
      <sheetName val="04 SEPTIEMBRE "/>
      <sheetName val="11 SEPTIEMBRE"/>
      <sheetName val="18 SEPTIEMBRE "/>
      <sheetName val="22 SEPTIEMBRE MAÑANA"/>
      <sheetName val="22 SEPTIEMBRE TARDE"/>
      <sheetName val="25 SEPTIEMBRE  "/>
      <sheetName val="02 OCTUBRE"/>
      <sheetName val="09 OCTUBRE"/>
      <sheetName val="16 OCTUBRE "/>
      <sheetName val="17 OCTUBRE "/>
      <sheetName val="23 OCTUBRE"/>
      <sheetName val="30 OCTUBRE"/>
      <sheetName val="06 NOVIEMBRE"/>
      <sheetName val="07 NOVIEMBRE "/>
      <sheetName val="13 NOVIEMBRE"/>
      <sheetName val="14 NOVIEMBRE  "/>
      <sheetName val="20 NOVIEMBRE "/>
      <sheetName val="27 NOVIEMBRE "/>
      <sheetName val="04 DICIEMBRE "/>
      <sheetName val="08 DICIEMBRE"/>
      <sheetName val="11 DICIEMBRE "/>
      <sheetName val="15 DICIEMBRE "/>
      <sheetName val="18 DICIEMBRE "/>
      <sheetName val="25 DICIEMBRE "/>
      <sheetName val="INFORME FINAL DICIEMBRE"/>
      <sheetName val="SALDOS POR PROYECTO"/>
      <sheetName val="HORARIOS Y BODEGA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77">
          <cell r="K77">
            <v>509192</v>
          </cell>
        </row>
        <row r="78">
          <cell r="K78">
            <v>509192</v>
          </cell>
        </row>
        <row r="81">
          <cell r="K81">
            <v>242399</v>
          </cell>
        </row>
        <row r="85">
          <cell r="K85">
            <v>433978</v>
          </cell>
        </row>
        <row r="86">
          <cell r="K86">
            <v>433978</v>
          </cell>
        </row>
        <row r="87">
          <cell r="K87">
            <v>433978</v>
          </cell>
        </row>
        <row r="88">
          <cell r="K88">
            <v>433978</v>
          </cell>
        </row>
        <row r="89">
          <cell r="K89">
            <v>433978</v>
          </cell>
        </row>
        <row r="90">
          <cell r="K90">
            <v>433978</v>
          </cell>
        </row>
        <row r="91">
          <cell r="K91">
            <v>433978</v>
          </cell>
        </row>
        <row r="92">
          <cell r="K92">
            <v>433978</v>
          </cell>
        </row>
        <row r="93">
          <cell r="K93">
            <v>433978</v>
          </cell>
        </row>
        <row r="94">
          <cell r="K94">
            <v>433978</v>
          </cell>
        </row>
        <row r="98">
          <cell r="K98">
            <v>433978</v>
          </cell>
        </row>
        <row r="99">
          <cell r="K99">
            <v>433978</v>
          </cell>
        </row>
        <row r="103">
          <cell r="K103">
            <v>433978</v>
          </cell>
        </row>
        <row r="106">
          <cell r="K106">
            <v>420585</v>
          </cell>
        </row>
        <row r="110">
          <cell r="K110">
            <v>433978</v>
          </cell>
        </row>
        <row r="112">
          <cell r="K112">
            <v>433978</v>
          </cell>
        </row>
        <row r="113">
          <cell r="K113">
            <v>433978</v>
          </cell>
        </row>
      </sheetData>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FINAL ABRIL"/>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FINAL MAY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44F84-E3C8-C84D-A8B6-4DEA10687F02}">
  <sheetPr>
    <tabColor rgb="FFFF0000"/>
  </sheetPr>
  <dimension ref="A1:AE192"/>
  <sheetViews>
    <sheetView view="pageBreakPreview" topLeftCell="H57" zoomScaleNormal="59" zoomScaleSheetLayoutView="100" workbookViewId="0">
      <selection activeCell="X34" sqref="X34"/>
    </sheetView>
  </sheetViews>
  <sheetFormatPr baseColWidth="10" defaultColWidth="11.42578125" defaultRowHeight="12.75" x14ac:dyDescent="0.2"/>
  <cols>
    <col min="1" max="1" width="58.42578125" style="3" customWidth="1"/>
    <col min="2" max="2" width="27.42578125" style="3" customWidth="1"/>
    <col min="3" max="3" width="20.85546875" style="3" customWidth="1"/>
    <col min="4" max="5" width="44.4257812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51.85546875" style="3" customWidth="1"/>
    <col min="16" max="16" width="29.28515625" style="3" customWidth="1"/>
    <col min="17" max="17" width="23.85546875" style="3" customWidth="1"/>
    <col min="18" max="18" width="18.140625" style="3" customWidth="1"/>
    <col min="19" max="19" width="36.42578125" style="3" customWidth="1"/>
    <col min="20" max="20" width="20.28515625" style="3" customWidth="1"/>
    <col min="21" max="21" width="19" style="3" customWidth="1"/>
    <col min="22" max="23" width="25.42578125" style="3" customWidth="1"/>
    <col min="24" max="24" width="59.2851562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379" t="s">
        <v>0</v>
      </c>
      <c r="B1" s="379"/>
      <c r="C1" s="379"/>
      <c r="D1" s="379"/>
      <c r="E1" s="379"/>
      <c r="F1" s="379"/>
      <c r="G1" s="379"/>
      <c r="H1" s="2"/>
      <c r="I1" s="2"/>
      <c r="J1" s="2"/>
      <c r="K1" s="2"/>
      <c r="L1" s="2"/>
      <c r="M1" s="2"/>
      <c r="N1" s="2"/>
      <c r="O1" s="2"/>
      <c r="P1" s="2"/>
      <c r="Q1" s="2"/>
      <c r="R1" s="2"/>
      <c r="S1" s="2"/>
      <c r="T1" s="2"/>
      <c r="U1" s="2"/>
      <c r="V1" s="2"/>
      <c r="W1" s="2"/>
      <c r="X1" s="2"/>
      <c r="Y1" s="2"/>
    </row>
    <row r="2" spans="1:31" ht="15.75" x14ac:dyDescent="0.2">
      <c r="A2" s="379" t="s">
        <v>1</v>
      </c>
      <c r="B2" s="379"/>
      <c r="C2" s="379"/>
      <c r="D2" s="379"/>
      <c r="E2" s="379"/>
      <c r="F2" s="379"/>
      <c r="G2" s="379"/>
      <c r="H2" s="2"/>
      <c r="I2" s="355" t="s">
        <v>2</v>
      </c>
      <c r="J2" s="356"/>
      <c r="K2" s="356"/>
      <c r="L2" s="356"/>
      <c r="M2" s="356"/>
      <c r="N2" s="356"/>
      <c r="O2" s="356"/>
      <c r="P2" s="358"/>
      <c r="Q2" s="2"/>
      <c r="R2" s="355" t="s">
        <v>3</v>
      </c>
      <c r="S2" s="356"/>
      <c r="T2" s="356"/>
      <c r="U2" s="356"/>
      <c r="V2" s="356"/>
      <c r="W2" s="356"/>
      <c r="X2" s="356"/>
      <c r="Y2" s="358"/>
      <c r="AA2" s="375"/>
      <c r="AB2" s="375"/>
      <c r="AC2" s="375"/>
      <c r="AD2" s="375"/>
      <c r="AE2" s="375"/>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7" t="s">
        <v>11</v>
      </c>
      <c r="S3" s="7" t="s">
        <v>4</v>
      </c>
      <c r="T3" s="8" t="s">
        <v>5</v>
      </c>
      <c r="U3" s="8" t="s">
        <v>6</v>
      </c>
      <c r="V3" s="8" t="s">
        <v>7</v>
      </c>
      <c r="W3" s="8" t="s">
        <v>8</v>
      </c>
      <c r="X3" s="8" t="s">
        <v>9</v>
      </c>
      <c r="Y3" s="8" t="s">
        <v>10</v>
      </c>
      <c r="AA3" s="4"/>
      <c r="AB3" s="9"/>
      <c r="AC3" s="9"/>
      <c r="AD3" s="9"/>
      <c r="AE3" s="9"/>
    </row>
    <row r="4" spans="1:31" ht="15.75" x14ac:dyDescent="0.25">
      <c r="A4" s="10" t="s">
        <v>12</v>
      </c>
      <c r="B4" s="11" t="str">
        <f t="shared" ref="B4:B11" si="0">+IF(F4=0,0,MID(F4,LEN(F4)-3,1))</f>
        <v>4</v>
      </c>
      <c r="C4" s="12">
        <v>1</v>
      </c>
      <c r="D4" s="12" t="s">
        <v>13</v>
      </c>
      <c r="E4" s="13" t="str">
        <f t="shared" ref="E4:E11" si="1">+IF(F4=0,0,CONCATENATE(MID(F4,FIND("-",F4,1)+1,4),"ORAS"))</f>
        <v>15 HORAS</v>
      </c>
      <c r="F4" s="14" t="s">
        <v>14</v>
      </c>
      <c r="G4" s="308">
        <f>+IF(F4="","",VLOOKUP(F4,$H$140:$I$192,2,FALSE))</f>
        <v>582964</v>
      </c>
      <c r="H4" s="2"/>
      <c r="I4" s="15" t="s">
        <v>15</v>
      </c>
      <c r="J4" s="14" t="s">
        <v>16</v>
      </c>
      <c r="K4" s="16">
        <v>3</v>
      </c>
      <c r="L4" s="17">
        <v>1</v>
      </c>
      <c r="M4" s="18" t="s">
        <v>13</v>
      </c>
      <c r="N4" s="13" t="str">
        <f>+IF(O4=0,0,CONCATENATE(MID(O4,FIND("-",O4,1)+1,4),"ORAS"))</f>
        <v>15 HORAS</v>
      </c>
      <c r="O4" s="14" t="s">
        <v>17</v>
      </c>
      <c r="P4" s="308">
        <f>+IF(O4="","",VLOOKUP(O4,$H$140:$I$192,2,FALSE))</f>
        <v>443323</v>
      </c>
      <c r="Q4" s="2"/>
      <c r="R4" s="15" t="s">
        <v>15</v>
      </c>
      <c r="S4" s="20" t="s">
        <v>18</v>
      </c>
      <c r="T4" s="16" t="str">
        <f>+IF(X4=0,0,MID(X4,LEN(X4)-3,1))</f>
        <v>3</v>
      </c>
      <c r="U4" s="21">
        <v>1</v>
      </c>
      <c r="V4" s="22" t="s">
        <v>13</v>
      </c>
      <c r="W4" s="13" t="str">
        <f>+IF(X4=0,0,CONCATENATE(MID(X4,FIND("-",X4,1)+1,4),"ORAS"))</f>
        <v>15 HORAS</v>
      </c>
      <c r="X4" s="14" t="s">
        <v>17</v>
      </c>
      <c r="Y4" s="316">
        <f>+IF(X4="","",VLOOKUP(X4,$H$140:$I$192,2,FALSE))</f>
        <v>443323</v>
      </c>
      <c r="AA4" s="23"/>
      <c r="AB4" s="24"/>
      <c r="AC4" s="24"/>
      <c r="AD4" s="25"/>
      <c r="AE4" s="26"/>
    </row>
    <row r="5" spans="1:31" ht="15.75" x14ac:dyDescent="0.25">
      <c r="A5" s="14" t="s">
        <v>20</v>
      </c>
      <c r="B5" s="11" t="str">
        <f t="shared" si="0"/>
        <v>3</v>
      </c>
      <c r="C5" s="18">
        <v>1</v>
      </c>
      <c r="D5" s="18" t="s">
        <v>13</v>
      </c>
      <c r="E5" s="13" t="str">
        <f t="shared" si="1"/>
        <v>15 HORAS</v>
      </c>
      <c r="F5" s="14" t="s">
        <v>21</v>
      </c>
      <c r="G5" s="308">
        <f>+IF(F5="","",VLOOKUP(F5,$H$140:I$192,2,FALSE))</f>
        <v>514916</v>
      </c>
      <c r="H5" s="2"/>
      <c r="I5" s="15" t="s">
        <v>15</v>
      </c>
      <c r="J5" s="14" t="s">
        <v>22</v>
      </c>
      <c r="K5" s="16">
        <v>0</v>
      </c>
      <c r="L5" s="17">
        <v>1</v>
      </c>
      <c r="M5" s="18" t="s">
        <v>13</v>
      </c>
      <c r="N5" s="13" t="str">
        <f>+IF(O5=0,0,CONCATENATE(MID(O5,FIND("-",O5,1)+1,4),"ORAS"))</f>
        <v>15 HORAS</v>
      </c>
      <c r="O5" s="14" t="s">
        <v>23</v>
      </c>
      <c r="P5" s="308">
        <f>+IF(O5="","",VLOOKUP(O5,$H$140:$I$192,2,FALSE))</f>
        <v>239262</v>
      </c>
      <c r="Q5" s="2"/>
      <c r="R5" s="15" t="s">
        <v>15</v>
      </c>
      <c r="S5" s="20" t="s">
        <v>24</v>
      </c>
      <c r="T5" s="16" t="str">
        <f>+IF(X5=0,0,MID(X5,LEN(X5)-3,1))</f>
        <v>3</v>
      </c>
      <c r="U5" s="21">
        <v>1</v>
      </c>
      <c r="V5" s="22" t="s">
        <v>13</v>
      </c>
      <c r="W5" s="13" t="str">
        <f>+IF(X5=0,0,CONCATENATE(MID(X5,FIND("-",X5,1)+1,4),"ORAS"))</f>
        <v>15 HORAS</v>
      </c>
      <c r="X5" s="14" t="s">
        <v>17</v>
      </c>
      <c r="Y5" s="316">
        <f>+IF(X5="","",VLOOKUP(X5,$H$140:$I$192,2,FALSE))</f>
        <v>443323</v>
      </c>
      <c r="AA5" s="23"/>
      <c r="AB5" s="24"/>
      <c r="AC5" s="24"/>
      <c r="AD5" s="25"/>
      <c r="AE5" s="26"/>
    </row>
    <row r="6" spans="1:31" ht="15.75" x14ac:dyDescent="0.25">
      <c r="A6" s="14" t="s">
        <v>25</v>
      </c>
      <c r="B6" s="11" t="str">
        <f t="shared" si="0"/>
        <v>3</v>
      </c>
      <c r="C6" s="18">
        <v>1</v>
      </c>
      <c r="D6" s="18" t="s">
        <v>13</v>
      </c>
      <c r="E6" s="13" t="str">
        <f t="shared" si="1"/>
        <v>15 HORAS</v>
      </c>
      <c r="F6" s="14" t="s">
        <v>21</v>
      </c>
      <c r="G6" s="308">
        <f>+IF(F6="","",VLOOKUP(F6,$H$140:I$192,2,FALSE))</f>
        <v>514916</v>
      </c>
      <c r="H6" s="2"/>
      <c r="I6" s="15" t="s">
        <v>15</v>
      </c>
      <c r="J6" s="14" t="s">
        <v>252</v>
      </c>
      <c r="K6" s="16">
        <v>4</v>
      </c>
      <c r="L6" s="17">
        <v>1</v>
      </c>
      <c r="M6" s="18" t="s">
        <v>13</v>
      </c>
      <c r="N6" s="13" t="str">
        <f>+IF(O6=0,0,CONCATENATE(MID(O6,FIND("-",O6,1)+1,4),"ORAS"))</f>
        <v>15 HORAS</v>
      </c>
      <c r="O6" s="14" t="s">
        <v>19</v>
      </c>
      <c r="P6" s="308">
        <f>+IF(O6="","",VLOOKUP(O6,$H$140:$I$192,2,FALSE))</f>
        <v>501739</v>
      </c>
      <c r="Q6" s="2"/>
      <c r="R6" s="15" t="s">
        <v>15</v>
      </c>
      <c r="S6" s="20" t="s">
        <v>26</v>
      </c>
      <c r="T6" s="16" t="str">
        <f>+IF(X6=0,0,MID(X6,LEN(X6)-3,1))</f>
        <v>3</v>
      </c>
      <c r="U6" s="21">
        <v>1</v>
      </c>
      <c r="V6" s="22" t="s">
        <v>13</v>
      </c>
      <c r="W6" s="13" t="str">
        <f>+IF(X6=0,0,CONCATENATE(MID(X6,FIND("-",X6,1)+1,4),"ORAS"))</f>
        <v>15 HORAS</v>
      </c>
      <c r="X6" s="14" t="s">
        <v>17</v>
      </c>
      <c r="Y6" s="316">
        <f>+IF(X6="","",VLOOKUP(X6,$H$140:$I$192,2,FALSE))</f>
        <v>443323</v>
      </c>
      <c r="AA6" s="23"/>
      <c r="AB6" s="24"/>
      <c r="AC6" s="24"/>
      <c r="AD6" s="25"/>
      <c r="AE6" s="26"/>
    </row>
    <row r="7" spans="1:31" ht="15.75" x14ac:dyDescent="0.25">
      <c r="A7" s="14" t="s">
        <v>27</v>
      </c>
      <c r="B7" s="11" t="str">
        <f t="shared" si="0"/>
        <v>3</v>
      </c>
      <c r="C7" s="18">
        <v>1</v>
      </c>
      <c r="D7" s="18" t="s">
        <v>13</v>
      </c>
      <c r="E7" s="13" t="str">
        <f t="shared" si="1"/>
        <v>15 HORAS</v>
      </c>
      <c r="F7" s="14" t="s">
        <v>21</v>
      </c>
      <c r="G7" s="308">
        <f>+IF(F7="","",VLOOKUP(F7,$H$140:I$192,2,FALSE))</f>
        <v>514916</v>
      </c>
      <c r="H7" s="2"/>
      <c r="I7" s="15" t="s">
        <v>15</v>
      </c>
      <c r="J7" s="125" t="s">
        <v>259</v>
      </c>
      <c r="K7" s="16">
        <v>2</v>
      </c>
      <c r="L7" s="17">
        <v>1</v>
      </c>
      <c r="M7" s="18" t="s">
        <v>13</v>
      </c>
      <c r="N7" s="13" t="str">
        <f>+IF(O7=0,0,CONCATENATE(MID(O7,FIND("-",O7,1)+1,4),"ORAS"))</f>
        <v>09 HORAS</v>
      </c>
      <c r="O7" s="14" t="s">
        <v>154</v>
      </c>
      <c r="P7" s="308">
        <f>+IF(O7="","",VLOOKUP(O7,$H$140:$I$192,2,FALSE))</f>
        <v>386383</v>
      </c>
      <c r="Q7" s="2"/>
      <c r="R7" s="27"/>
      <c r="S7" s="28"/>
      <c r="T7" s="16"/>
      <c r="U7" s="29"/>
      <c r="V7" s="12"/>
      <c r="W7" s="13"/>
      <c r="X7" s="14">
        <v>0</v>
      </c>
      <c r="Y7" s="30">
        <f>+IF(X7="","",VLOOKUP(X7,$H$140:$I$186,2,FALSE))</f>
        <v>0</v>
      </c>
      <c r="AA7" s="23"/>
      <c r="AB7" s="23"/>
      <c r="AC7" s="23"/>
      <c r="AD7" s="23"/>
      <c r="AE7" s="23"/>
    </row>
    <row r="8" spans="1:31" ht="15.75" x14ac:dyDescent="0.25">
      <c r="A8" s="14" t="s">
        <v>28</v>
      </c>
      <c r="B8" s="11" t="str">
        <f t="shared" si="0"/>
        <v>3</v>
      </c>
      <c r="C8" s="18">
        <v>1</v>
      </c>
      <c r="D8" s="18" t="s">
        <v>13</v>
      </c>
      <c r="E8" s="13" t="str">
        <f t="shared" si="1"/>
        <v>15 HORAS</v>
      </c>
      <c r="F8" s="14" t="s">
        <v>21</v>
      </c>
      <c r="G8" s="308">
        <f>+IF(F8="","",VLOOKUP(F8,$H$140:I$192,2,FALSE))</f>
        <v>514916</v>
      </c>
      <c r="H8" s="2"/>
      <c r="I8" s="15"/>
      <c r="J8" s="125"/>
      <c r="K8" s="126"/>
      <c r="L8" s="127"/>
      <c r="M8" s="18"/>
      <c r="N8" s="13">
        <f>+IF(O8=0,0,CONCATENATE(MID(O8,FIND("-",O8,1)+1,4),"ORAS"))</f>
        <v>0</v>
      </c>
      <c r="O8" s="14">
        <v>0</v>
      </c>
      <c r="P8" s="19">
        <f>+IF(O8="","",VLOOKUP(O8,$H$140:$I$192,2,FALSE))</f>
        <v>0</v>
      </c>
      <c r="Q8" s="2"/>
      <c r="R8" s="15"/>
      <c r="S8" s="31"/>
      <c r="T8" s="21"/>
      <c r="U8" s="21">
        <f>+U4+U5+U6+U7</f>
        <v>3</v>
      </c>
      <c r="V8" s="18"/>
      <c r="W8" s="14"/>
      <c r="X8" s="14"/>
      <c r="Y8" s="32"/>
      <c r="AA8" s="23"/>
      <c r="AB8" s="23"/>
      <c r="AC8" s="23"/>
      <c r="AD8" s="23"/>
      <c r="AE8" s="23"/>
    </row>
    <row r="9" spans="1:31" ht="15.75" x14ac:dyDescent="0.25">
      <c r="A9" s="33" t="s">
        <v>29</v>
      </c>
      <c r="B9" s="11" t="str">
        <f t="shared" si="0"/>
        <v>3</v>
      </c>
      <c r="C9" s="18">
        <v>1</v>
      </c>
      <c r="D9" s="18" t="s">
        <v>13</v>
      </c>
      <c r="E9" s="13" t="str">
        <f t="shared" si="1"/>
        <v>15 HORAS</v>
      </c>
      <c r="F9" s="14" t="s">
        <v>21</v>
      </c>
      <c r="G9" s="308">
        <f>+IF(F9="","",VLOOKUP(F9,$H$140:I$192,2,FALSE))</f>
        <v>514916</v>
      </c>
      <c r="H9" s="2"/>
      <c r="I9" s="34"/>
      <c r="J9" s="14"/>
      <c r="K9" s="16"/>
      <c r="L9" s="35"/>
      <c r="M9" s="35"/>
      <c r="N9" s="14"/>
      <c r="O9" s="14"/>
      <c r="P9" s="36"/>
      <c r="Q9" s="2"/>
      <c r="R9" s="37"/>
      <c r="S9" s="38"/>
      <c r="T9" s="38"/>
      <c r="U9" s="38"/>
      <c r="V9" s="39"/>
      <c r="W9" s="39"/>
      <c r="X9" s="39"/>
      <c r="Y9" s="2"/>
      <c r="AA9" s="23"/>
      <c r="AB9" s="23"/>
      <c r="AC9" s="23"/>
      <c r="AD9" s="23"/>
      <c r="AE9" s="23"/>
    </row>
    <row r="10" spans="1:31" ht="15.75" x14ac:dyDescent="0.25">
      <c r="A10" s="33" t="s">
        <v>30</v>
      </c>
      <c r="B10" s="11" t="str">
        <f t="shared" si="0"/>
        <v>4</v>
      </c>
      <c r="C10" s="18">
        <v>1</v>
      </c>
      <c r="D10" s="18" t="s">
        <v>13</v>
      </c>
      <c r="E10" s="13" t="str">
        <f t="shared" si="1"/>
        <v>15 HORAS</v>
      </c>
      <c r="F10" s="14" t="s">
        <v>14</v>
      </c>
      <c r="G10" s="308">
        <f>+IF(F10="","",VLOOKUP(F10,$H$140:I$192,2,FALSE))</f>
        <v>582964</v>
      </c>
      <c r="H10" s="2"/>
      <c r="I10" s="34"/>
      <c r="J10" s="14"/>
      <c r="K10" s="16"/>
      <c r="L10" s="35"/>
      <c r="M10" s="35"/>
      <c r="N10" s="14"/>
      <c r="O10" s="14"/>
      <c r="P10" s="36"/>
      <c r="Q10" s="2"/>
      <c r="R10" s="37"/>
      <c r="S10" s="38"/>
      <c r="T10" s="38"/>
      <c r="U10" s="38"/>
      <c r="V10" s="39"/>
      <c r="W10" s="39"/>
      <c r="X10" s="39"/>
      <c r="Y10" s="2"/>
      <c r="AA10" s="23"/>
      <c r="AB10" s="23"/>
      <c r="AC10" s="23"/>
      <c r="AD10" s="23"/>
      <c r="AE10" s="23"/>
    </row>
    <row r="11" spans="1:31" ht="15.75" x14ac:dyDescent="0.25">
      <c r="A11" s="33" t="s">
        <v>31</v>
      </c>
      <c r="B11" s="11" t="str">
        <f t="shared" si="0"/>
        <v>4</v>
      </c>
      <c r="C11" s="12">
        <v>1</v>
      </c>
      <c r="D11" s="12" t="s">
        <v>13</v>
      </c>
      <c r="E11" s="13" t="str">
        <f t="shared" si="1"/>
        <v>15 HORAS</v>
      </c>
      <c r="F11" s="14" t="s">
        <v>14</v>
      </c>
      <c r="G11" s="308">
        <f>+IF(F11="","",VLOOKUP(F11,$H$140:$I$192,2,FALSE))</f>
        <v>582964</v>
      </c>
      <c r="H11" s="2"/>
      <c r="I11" s="34"/>
      <c r="J11" s="14"/>
      <c r="K11" s="16"/>
      <c r="L11" s="35"/>
      <c r="M11" s="35"/>
      <c r="N11" s="14"/>
      <c r="O11" s="14"/>
      <c r="P11" s="40"/>
      <c r="Q11" s="2"/>
      <c r="R11" s="37"/>
      <c r="S11" s="38"/>
      <c r="T11" s="38"/>
      <c r="U11" s="38"/>
      <c r="V11" s="39"/>
      <c r="W11" s="39"/>
      <c r="X11" s="39"/>
      <c r="Y11" s="2"/>
      <c r="AA11" s="23"/>
      <c r="AB11" s="23"/>
      <c r="AC11" s="23"/>
      <c r="AD11" s="23"/>
      <c r="AE11" s="23"/>
    </row>
    <row r="12" spans="1:31" ht="15.75" x14ac:dyDescent="0.25">
      <c r="A12" s="41"/>
      <c r="B12" s="11"/>
      <c r="C12" s="18"/>
      <c r="D12" s="18"/>
      <c r="E12" s="13"/>
      <c r="F12" s="14"/>
      <c r="G12" s="30"/>
      <c r="H12" s="2"/>
      <c r="I12" s="34"/>
      <c r="J12" s="14"/>
      <c r="K12" s="16"/>
      <c r="L12" s="35"/>
      <c r="M12" s="35"/>
      <c r="N12" s="14"/>
      <c r="O12" s="14"/>
      <c r="P12" s="40"/>
      <c r="Q12" s="2"/>
      <c r="R12" s="37"/>
      <c r="S12" s="38"/>
      <c r="T12" s="38"/>
      <c r="U12" s="38"/>
      <c r="V12" s="39"/>
      <c r="W12" s="39"/>
      <c r="X12" s="39"/>
      <c r="Y12" s="2"/>
      <c r="AA12" s="23"/>
      <c r="AB12" s="23"/>
      <c r="AC12" s="23"/>
      <c r="AD12" s="23"/>
      <c r="AE12" s="23"/>
    </row>
    <row r="13" spans="1:31" ht="15.75" x14ac:dyDescent="0.25">
      <c r="A13" s="42"/>
      <c r="B13" s="11">
        <f>+B10+B9+B8+B7+B6+B5+B4+B11</f>
        <v>27</v>
      </c>
      <c r="C13" s="11">
        <f>+C10+C9+C8+C7+C6+C5+C4</f>
        <v>7</v>
      </c>
      <c r="D13" s="43"/>
      <c r="E13" s="43"/>
      <c r="F13" s="14"/>
      <c r="G13" s="44">
        <f>SUM(G4:G12)</f>
        <v>4323472</v>
      </c>
      <c r="H13" s="2"/>
      <c r="I13" s="34"/>
      <c r="J13" s="14"/>
      <c r="K13" s="16"/>
      <c r="L13" s="17"/>
      <c r="M13" s="35"/>
      <c r="N13" s="14"/>
      <c r="O13" s="14"/>
      <c r="P13" s="45"/>
      <c r="Q13" s="2"/>
      <c r="R13" s="355" t="s">
        <v>32</v>
      </c>
      <c r="S13" s="356"/>
      <c r="T13" s="356"/>
      <c r="U13" s="356"/>
      <c r="V13" s="357"/>
      <c r="W13" s="357"/>
      <c r="X13" s="357"/>
      <c r="Y13" s="358"/>
      <c r="AA13" s="23"/>
      <c r="AB13" s="23"/>
      <c r="AC13" s="23"/>
      <c r="AD13" s="23"/>
      <c r="AE13" s="23"/>
    </row>
    <row r="14" spans="1:31" ht="16.5" customHeight="1" x14ac:dyDescent="0.25">
      <c r="A14" s="368" t="s">
        <v>33</v>
      </c>
      <c r="B14" s="368"/>
      <c r="C14" s="368"/>
      <c r="D14" s="368"/>
      <c r="E14" s="368"/>
      <c r="F14" s="368"/>
      <c r="G14" s="368"/>
      <c r="H14" s="2"/>
      <c r="I14" s="34"/>
      <c r="J14" s="14"/>
      <c r="K14" s="16"/>
      <c r="L14" s="17"/>
      <c r="M14" s="35"/>
      <c r="N14" s="14"/>
      <c r="O14" s="14"/>
      <c r="P14" s="46"/>
      <c r="Q14" s="2"/>
      <c r="R14" s="7" t="s">
        <v>11</v>
      </c>
      <c r="S14" s="7" t="s">
        <v>4</v>
      </c>
      <c r="T14" s="8" t="s">
        <v>5</v>
      </c>
      <c r="U14" s="8" t="s">
        <v>6</v>
      </c>
      <c r="V14" s="8" t="s">
        <v>7</v>
      </c>
      <c r="W14" s="8" t="s">
        <v>8</v>
      </c>
      <c r="X14" s="8" t="s">
        <v>9</v>
      </c>
      <c r="Y14" s="8" t="s">
        <v>10</v>
      </c>
      <c r="Z14" s="47"/>
    </row>
    <row r="15" spans="1:31" ht="15.75" x14ac:dyDescent="0.2">
      <c r="A15" s="1" t="s">
        <v>4</v>
      </c>
      <c r="B15" s="5" t="s">
        <v>5</v>
      </c>
      <c r="C15" s="5" t="s">
        <v>6</v>
      </c>
      <c r="D15" s="5" t="s">
        <v>7</v>
      </c>
      <c r="E15" s="5" t="s">
        <v>8</v>
      </c>
      <c r="F15" s="48" t="s">
        <v>9</v>
      </c>
      <c r="G15" s="5" t="s">
        <v>10</v>
      </c>
      <c r="H15" s="2"/>
      <c r="I15" s="42"/>
      <c r="J15" s="42"/>
      <c r="K15" s="42"/>
      <c r="L15" s="42"/>
      <c r="M15" s="42"/>
      <c r="N15" s="14"/>
      <c r="O15" s="14"/>
      <c r="P15" s="49"/>
      <c r="Q15" s="2"/>
      <c r="R15" s="50" t="s">
        <v>15</v>
      </c>
      <c r="S15" s="20" t="s">
        <v>34</v>
      </c>
      <c r="T15" s="16">
        <v>3</v>
      </c>
      <c r="U15" s="20">
        <v>0</v>
      </c>
      <c r="V15" s="20" t="s">
        <v>35</v>
      </c>
      <c r="W15" s="13" t="str">
        <f>+IF(X15=0,0,CONCATENATE(MID(X15,FIND("-",X15,1)+1,4),"ORAS"))</f>
        <v>08 HORAS</v>
      </c>
      <c r="X15" s="14" t="s">
        <v>36</v>
      </c>
      <c r="Y15" s="308">
        <f>+(IF(X15="","",VLOOKUP(X15,$H$140:$I$192,2,FALSE)))*T15</f>
        <v>160731</v>
      </c>
    </row>
    <row r="16" spans="1:31" ht="18.75" customHeight="1" x14ac:dyDescent="0.2">
      <c r="A16" s="33"/>
      <c r="B16" s="51">
        <f>+IF(F16=0,0,MID(F16,LEN(F16)-3,1))</f>
        <v>0</v>
      </c>
      <c r="C16" s="29"/>
      <c r="D16" s="12"/>
      <c r="E16" s="13">
        <f>+IF(F16=0,0,CONCATENATE(MID(F16,FIND("-",F16,1)+1,4),"ORAS"))</f>
        <v>0</v>
      </c>
      <c r="F16" s="14">
        <v>0</v>
      </c>
      <c r="G16" s="19">
        <f>+IF(F16="","",VLOOKUP(F16,$H$140:I$192,2,FALSE))</f>
        <v>0</v>
      </c>
      <c r="H16" s="2"/>
      <c r="I16" s="369" t="s">
        <v>37</v>
      </c>
      <c r="J16" s="357"/>
      <c r="K16" s="357"/>
      <c r="L16" s="357"/>
      <c r="M16" s="357"/>
      <c r="N16" s="357"/>
      <c r="O16" s="357"/>
      <c r="P16" s="370"/>
      <c r="Q16" s="2"/>
      <c r="R16" s="50" t="s">
        <v>15</v>
      </c>
      <c r="S16" s="20" t="s">
        <v>38</v>
      </c>
      <c r="T16" s="16">
        <v>3</v>
      </c>
      <c r="U16" s="20">
        <v>0</v>
      </c>
      <c r="V16" s="20" t="s">
        <v>35</v>
      </c>
      <c r="W16" s="14" t="str">
        <f>+IF(X16=0,0,CONCATENATE(MID(X16,FIND("-",X16,1)+1,4),"ORAS"))</f>
        <v>08 HORAS</v>
      </c>
      <c r="X16" s="14" t="s">
        <v>36</v>
      </c>
      <c r="Y16" s="317">
        <f>+(IF(X16="","",VLOOKUP(X16,$H$140:$I$192,2,FALSE)))*T16</f>
        <v>160731</v>
      </c>
    </row>
    <row r="17" spans="1:31" ht="23.25" customHeight="1" x14ac:dyDescent="0.2">
      <c r="A17" s="52"/>
      <c r="B17" s="16"/>
      <c r="C17" s="21"/>
      <c r="D17" s="18"/>
      <c r="E17" s="14"/>
      <c r="F17" s="14"/>
      <c r="G17" s="30"/>
      <c r="H17" s="2"/>
      <c r="I17" s="7" t="s">
        <v>11</v>
      </c>
      <c r="J17" s="7" t="s">
        <v>4</v>
      </c>
      <c r="K17" s="8" t="s">
        <v>5</v>
      </c>
      <c r="L17" s="8" t="s">
        <v>6</v>
      </c>
      <c r="M17" s="8" t="s">
        <v>7</v>
      </c>
      <c r="N17" s="8" t="s">
        <v>8</v>
      </c>
      <c r="O17" s="8" t="s">
        <v>9</v>
      </c>
      <c r="P17" s="8" t="s">
        <v>10</v>
      </c>
      <c r="Q17" s="2"/>
      <c r="R17" s="2"/>
      <c r="S17" s="2"/>
      <c r="T17" s="2"/>
      <c r="U17" s="2"/>
      <c r="V17" s="2"/>
      <c r="W17" s="2"/>
      <c r="X17" s="2"/>
      <c r="Y17" s="2"/>
    </row>
    <row r="18" spans="1:31" ht="15.75" x14ac:dyDescent="0.25">
      <c r="A18" s="52"/>
      <c r="B18" s="16"/>
      <c r="C18" s="21"/>
      <c r="D18" s="18"/>
      <c r="E18" s="14"/>
      <c r="F18" s="14"/>
      <c r="G18" s="30"/>
      <c r="H18" s="2"/>
      <c r="I18" s="15" t="s">
        <v>15</v>
      </c>
      <c r="J18" s="14" t="s">
        <v>258</v>
      </c>
      <c r="K18" s="16">
        <v>3</v>
      </c>
      <c r="L18" s="17">
        <v>1</v>
      </c>
      <c r="M18" s="18" t="s">
        <v>13</v>
      </c>
      <c r="N18" s="13" t="str">
        <f>+IF(O18=0,0,CONCATENATE(MID(O18,FIND("-",O18,1)+1,4),"ORAS"))</f>
        <v>09 HORAS</v>
      </c>
      <c r="O18" s="14" t="s">
        <v>95</v>
      </c>
      <c r="P18" s="308">
        <f>+IF(O18="","",VLOOKUP(O18,$H$140:$I$192,2,FALSE))</f>
        <v>450204</v>
      </c>
      <c r="Q18" s="2"/>
      <c r="R18" s="355" t="s">
        <v>39</v>
      </c>
      <c r="S18" s="356"/>
      <c r="T18" s="356"/>
      <c r="U18" s="356"/>
      <c r="V18" s="356"/>
      <c r="W18" s="356"/>
      <c r="X18" s="356"/>
      <c r="Y18" s="358"/>
    </row>
    <row r="19" spans="1:31" ht="15.75" x14ac:dyDescent="0.25">
      <c r="A19" s="53"/>
      <c r="B19" s="16"/>
      <c r="C19" s="18"/>
      <c r="D19" s="18"/>
      <c r="E19" s="14"/>
      <c r="F19" s="14"/>
      <c r="G19" s="30"/>
      <c r="H19" s="2"/>
      <c r="I19" s="15"/>
      <c r="J19" s="14"/>
      <c r="K19" s="16"/>
      <c r="L19" s="54"/>
      <c r="M19" s="55"/>
      <c r="N19" s="13"/>
      <c r="O19" s="14">
        <v>0</v>
      </c>
      <c r="P19" s="19">
        <f>+IF(O19="","",VLOOKUP(O19,$H$140:$I$192,2,FALSE))</f>
        <v>0</v>
      </c>
      <c r="Q19" s="2"/>
      <c r="R19" s="7" t="s">
        <v>11</v>
      </c>
      <c r="S19" s="7" t="s">
        <v>4</v>
      </c>
      <c r="T19" s="8" t="s">
        <v>5</v>
      </c>
      <c r="U19" s="8" t="s">
        <v>6</v>
      </c>
      <c r="V19" s="8" t="s">
        <v>7</v>
      </c>
      <c r="W19" s="8" t="s">
        <v>8</v>
      </c>
      <c r="X19" s="8" t="s">
        <v>9</v>
      </c>
      <c r="Y19" s="8" t="s">
        <v>10</v>
      </c>
      <c r="AA19" s="23"/>
      <c r="AB19" s="23"/>
      <c r="AC19" s="23"/>
      <c r="AD19" s="23"/>
      <c r="AE19" s="23"/>
    </row>
    <row r="20" spans="1:31" ht="15.75" x14ac:dyDescent="0.25">
      <c r="A20" s="56"/>
      <c r="B20" s="16"/>
      <c r="C20" s="57"/>
      <c r="D20" s="57"/>
      <c r="E20" s="14"/>
      <c r="F20" s="14"/>
      <c r="G20" s="30"/>
      <c r="H20" s="2"/>
      <c r="I20" s="34"/>
      <c r="J20" s="13"/>
      <c r="K20" s="16"/>
      <c r="L20" s="58"/>
      <c r="M20" s="22"/>
      <c r="N20" s="13"/>
      <c r="O20" s="14"/>
      <c r="P20" s="59"/>
      <c r="Q20" s="2"/>
      <c r="R20" s="48" t="s">
        <v>40</v>
      </c>
      <c r="S20" s="20" t="s">
        <v>34</v>
      </c>
      <c r="T20" s="16" t="s">
        <v>35</v>
      </c>
      <c r="U20" s="20" t="s">
        <v>35</v>
      </c>
      <c r="V20" s="12" t="s">
        <v>13</v>
      </c>
      <c r="W20" s="13" t="str">
        <f t="shared" ref="W20:W24" si="2">+IF(X20=0,0,CONCATENATE(MID(X20,FIND("-",X20,1)+1,4),"ORAS"))</f>
        <v>15 HORAS</v>
      </c>
      <c r="X20" s="14" t="s">
        <v>41</v>
      </c>
      <c r="Y20" s="308">
        <f t="shared" ref="Y20:Y26" si="3">+IF(X20="","",VLOOKUP(X20,$H$140:$I$192,2,FALSE))</f>
        <v>373234</v>
      </c>
      <c r="AA20" s="23"/>
      <c r="AB20" s="23"/>
      <c r="AC20" s="23"/>
      <c r="AD20" s="23"/>
      <c r="AE20" s="23"/>
    </row>
    <row r="21" spans="1:31" ht="15.75" x14ac:dyDescent="0.25">
      <c r="A21" s="56"/>
      <c r="B21" s="16"/>
      <c r="C21" s="57"/>
      <c r="D21" s="57"/>
      <c r="E21" s="14"/>
      <c r="F21" s="14"/>
      <c r="G21" s="30"/>
      <c r="H21" s="2"/>
      <c r="I21" s="34"/>
      <c r="J21" s="13"/>
      <c r="K21" s="16"/>
      <c r="L21" s="58"/>
      <c r="M21" s="22"/>
      <c r="N21" s="13"/>
      <c r="O21" s="14"/>
      <c r="P21" s="59"/>
      <c r="Q21" s="2"/>
      <c r="R21" s="318" t="s">
        <v>40</v>
      </c>
      <c r="S21" s="20" t="s">
        <v>34</v>
      </c>
      <c r="T21" s="16" t="s">
        <v>35</v>
      </c>
      <c r="U21" s="20" t="s">
        <v>35</v>
      </c>
      <c r="V21" s="12" t="s">
        <v>13</v>
      </c>
      <c r="W21" s="13" t="str">
        <f t="shared" si="2"/>
        <v>15 HORAS</v>
      </c>
      <c r="X21" s="14" t="s">
        <v>41</v>
      </c>
      <c r="Y21" s="308">
        <f t="shared" si="3"/>
        <v>373234</v>
      </c>
      <c r="AA21" s="23"/>
      <c r="AB21" s="23"/>
      <c r="AC21" s="23"/>
      <c r="AD21" s="23"/>
      <c r="AE21" s="23"/>
    </row>
    <row r="22" spans="1:31" ht="15.75" x14ac:dyDescent="0.25">
      <c r="A22" s="56"/>
      <c r="B22" s="16"/>
      <c r="C22" s="57"/>
      <c r="D22" s="57"/>
      <c r="E22" s="14"/>
      <c r="F22" s="57"/>
      <c r="G22" s="30"/>
      <c r="H22" s="2"/>
      <c r="I22" s="34"/>
      <c r="J22" s="13"/>
      <c r="K22" s="16"/>
      <c r="L22" s="58"/>
      <c r="M22" s="22"/>
      <c r="N22" s="13"/>
      <c r="O22" s="14"/>
      <c r="P22" s="59"/>
      <c r="Q22" s="2"/>
      <c r="R22" s="50" t="s">
        <v>15</v>
      </c>
      <c r="S22" s="20" t="s">
        <v>34</v>
      </c>
      <c r="T22" s="16" t="s">
        <v>35</v>
      </c>
      <c r="U22" s="20">
        <v>1</v>
      </c>
      <c r="V22" s="12" t="s">
        <v>13</v>
      </c>
      <c r="W22" s="13" t="str">
        <f t="shared" si="2"/>
        <v>15 HORAS</v>
      </c>
      <c r="X22" s="14" t="s">
        <v>23</v>
      </c>
      <c r="Y22" s="308">
        <f t="shared" si="3"/>
        <v>239262</v>
      </c>
      <c r="AA22" s="23"/>
      <c r="AB22" s="23"/>
      <c r="AC22" s="23"/>
      <c r="AD22" s="23"/>
      <c r="AE22" s="23"/>
    </row>
    <row r="23" spans="1:31" ht="15.75" x14ac:dyDescent="0.25">
      <c r="A23" s="60" t="s">
        <v>42</v>
      </c>
      <c r="B23" s="61">
        <f>SUM(B4:B13)+B16+B17+B18+B19+B20+B22</f>
        <v>27</v>
      </c>
      <c r="C23" s="61">
        <f>+C4+C5+C6+C7+C8+C9+C10+C16</f>
        <v>7</v>
      </c>
      <c r="D23" s="62"/>
      <c r="E23" s="63"/>
      <c r="F23" s="62"/>
      <c r="G23" s="44">
        <f>SUM(G13,G16:G22)</f>
        <v>4323472</v>
      </c>
      <c r="H23" s="2"/>
      <c r="I23" s="34"/>
      <c r="J23" s="14"/>
      <c r="K23" s="16"/>
      <c r="L23" s="54"/>
      <c r="M23" s="54"/>
      <c r="N23" s="13"/>
      <c r="O23" s="14"/>
      <c r="P23" s="59"/>
      <c r="Q23" s="2"/>
      <c r="R23" s="50" t="s">
        <v>15</v>
      </c>
      <c r="S23" s="20" t="s">
        <v>34</v>
      </c>
      <c r="T23" s="16" t="s">
        <v>35</v>
      </c>
      <c r="U23" s="20" t="s">
        <v>35</v>
      </c>
      <c r="V23" s="18" t="s">
        <v>13</v>
      </c>
      <c r="W23" s="14" t="str">
        <f t="shared" si="2"/>
        <v>15 HORAS</v>
      </c>
      <c r="X23" s="14" t="s">
        <v>41</v>
      </c>
      <c r="Y23" s="308">
        <f t="shared" si="3"/>
        <v>373234</v>
      </c>
      <c r="AA23" s="23"/>
      <c r="AB23" s="23"/>
      <c r="AC23" s="23"/>
      <c r="AD23" s="23"/>
      <c r="AE23" s="23"/>
    </row>
    <row r="24" spans="1:31" ht="15.75" x14ac:dyDescent="0.25">
      <c r="A24" s="371" t="s">
        <v>43</v>
      </c>
      <c r="B24" s="371"/>
      <c r="C24" s="371"/>
      <c r="D24" s="371"/>
      <c r="E24" s="371"/>
      <c r="F24" s="371"/>
      <c r="G24" s="371"/>
      <c r="H24" s="2"/>
      <c r="I24" s="65"/>
      <c r="J24" s="14"/>
      <c r="K24" s="16"/>
      <c r="L24" s="54"/>
      <c r="M24" s="22"/>
      <c r="N24" s="13"/>
      <c r="O24" s="14"/>
      <c r="P24" s="66"/>
      <c r="Q24" s="2"/>
      <c r="R24" s="67" t="s">
        <v>44</v>
      </c>
      <c r="S24" s="20" t="s">
        <v>34</v>
      </c>
      <c r="T24" s="16" t="s">
        <v>35</v>
      </c>
      <c r="U24" s="20" t="s">
        <v>35</v>
      </c>
      <c r="V24" s="18" t="s">
        <v>13</v>
      </c>
      <c r="W24" s="14" t="str">
        <f t="shared" si="2"/>
        <v>15 HORAS</v>
      </c>
      <c r="X24" s="14" t="s">
        <v>41</v>
      </c>
      <c r="Y24" s="308">
        <f t="shared" si="3"/>
        <v>373234</v>
      </c>
      <c r="AA24" s="23"/>
      <c r="AB24" s="23"/>
      <c r="AC24" s="23"/>
      <c r="AD24" s="23"/>
      <c r="AE24" s="23"/>
    </row>
    <row r="25" spans="1:31" ht="15.75" x14ac:dyDescent="0.25">
      <c r="A25" s="371" t="s">
        <v>1</v>
      </c>
      <c r="B25" s="371"/>
      <c r="C25" s="371"/>
      <c r="D25" s="371"/>
      <c r="E25" s="371"/>
      <c r="F25" s="371"/>
      <c r="G25" s="371"/>
      <c r="H25" s="2"/>
      <c r="I25" s="34"/>
      <c r="J25" s="68"/>
      <c r="K25" s="16"/>
      <c r="L25" s="35"/>
      <c r="M25" s="35"/>
      <c r="N25" s="14"/>
      <c r="O25" s="14"/>
      <c r="P25" s="69"/>
      <c r="Q25" s="2"/>
      <c r="R25" s="50"/>
      <c r="S25" s="128"/>
      <c r="T25" s="129"/>
      <c r="U25" s="128"/>
      <c r="V25" s="130"/>
      <c r="W25" s="131"/>
      <c r="X25" s="132">
        <v>0</v>
      </c>
      <c r="Y25" s="19">
        <f t="shared" si="3"/>
        <v>0</v>
      </c>
      <c r="AA25" s="23"/>
      <c r="AB25" s="23"/>
      <c r="AC25" s="23"/>
      <c r="AD25" s="23"/>
      <c r="AE25" s="23"/>
    </row>
    <row r="26" spans="1:31" ht="15.75" x14ac:dyDescent="0.2">
      <c r="A26" s="64" t="s">
        <v>4</v>
      </c>
      <c r="B26" s="70" t="s">
        <v>5</v>
      </c>
      <c r="C26" s="70" t="s">
        <v>6</v>
      </c>
      <c r="D26" s="70" t="s">
        <v>7</v>
      </c>
      <c r="E26" s="70" t="s">
        <v>8</v>
      </c>
      <c r="F26" s="70" t="s">
        <v>9</v>
      </c>
      <c r="G26" s="70" t="s">
        <v>10</v>
      </c>
      <c r="H26" s="2"/>
      <c r="I26" s="2"/>
      <c r="J26" s="71" t="s">
        <v>45</v>
      </c>
      <c r="K26" s="72">
        <f>SUM(K4:K15,K18:K25)</f>
        <v>12</v>
      </c>
      <c r="L26" s="72">
        <f>SUM(L4:L25)</f>
        <v>5</v>
      </c>
      <c r="M26" s="71"/>
      <c r="N26" s="71"/>
      <c r="O26" s="71"/>
      <c r="P26" s="73">
        <f>SUM(P4:P25)</f>
        <v>2020911</v>
      </c>
      <c r="Q26" s="2"/>
      <c r="R26" s="133"/>
      <c r="S26" s="128"/>
      <c r="T26" s="129"/>
      <c r="U26" s="128"/>
      <c r="V26" s="130"/>
      <c r="W26" s="132"/>
      <c r="X26" s="132">
        <v>0</v>
      </c>
      <c r="Y26" s="46">
        <f t="shared" si="3"/>
        <v>0</v>
      </c>
      <c r="AA26" s="77"/>
      <c r="AB26" s="77"/>
      <c r="AC26" s="77"/>
      <c r="AD26" s="77"/>
      <c r="AE26" s="78"/>
    </row>
    <row r="27" spans="1:31" ht="15.75" x14ac:dyDescent="0.2">
      <c r="A27" s="79" t="s">
        <v>46</v>
      </c>
      <c r="B27" s="11" t="str">
        <f>+IF(F27=0,0,MID(F27,LEN(F27)-3,1))</f>
        <v>3</v>
      </c>
      <c r="C27" s="12">
        <v>1</v>
      </c>
      <c r="D27" s="12" t="s">
        <v>13</v>
      </c>
      <c r="E27" s="13" t="str">
        <f>+IF(F27=0,0,CONCATENATE(MID(F27,FIND("-",F27,1)+1,4),"ORAS"))</f>
        <v>15 HORAS</v>
      </c>
      <c r="F27" s="14" t="s">
        <v>21</v>
      </c>
      <c r="G27" s="308">
        <f>+IF(F27="","",VLOOKUP(F27,$H$140:I$192,2,FALSE))</f>
        <v>514916</v>
      </c>
      <c r="H27" s="2"/>
      <c r="I27" s="2"/>
      <c r="J27" s="2"/>
      <c r="K27" s="2"/>
      <c r="L27" s="2"/>
      <c r="M27" s="2"/>
      <c r="N27" s="2"/>
      <c r="O27" s="2"/>
      <c r="P27" s="2"/>
      <c r="Q27" s="2"/>
      <c r="R27" s="2"/>
      <c r="S27" s="2"/>
      <c r="T27" s="2"/>
      <c r="U27" s="2"/>
      <c r="V27" s="2"/>
      <c r="W27" s="2"/>
      <c r="X27" s="2"/>
      <c r="Y27" s="2"/>
      <c r="AA27" s="23"/>
      <c r="AB27" s="23"/>
      <c r="AC27" s="23"/>
      <c r="AD27" s="23"/>
      <c r="AE27" s="23"/>
    </row>
    <row r="28" spans="1:31" ht="20.100000000000001" customHeight="1" x14ac:dyDescent="0.2">
      <c r="A28" s="79" t="s">
        <v>47</v>
      </c>
      <c r="B28" s="51" t="str">
        <f>+IF(F28=0,0,MID(F28,LEN(F28)-3,1))</f>
        <v>4</v>
      </c>
      <c r="C28" s="80">
        <v>1</v>
      </c>
      <c r="D28" s="22" t="s">
        <v>13</v>
      </c>
      <c r="E28" s="13" t="str">
        <f>+IF(F28=0,0,CONCATENATE(MID(F28,FIND("-",F28,1)+1,4),"ORAS"))</f>
        <v>15 HORAS</v>
      </c>
      <c r="F28" s="14" t="s">
        <v>14</v>
      </c>
      <c r="G28" s="308">
        <f>+IF(F28="","",VLOOKUP(F28,$H$140:I$192,2,FALSE))</f>
        <v>582964</v>
      </c>
      <c r="H28" s="2"/>
      <c r="I28" s="2"/>
      <c r="J28" s="2"/>
      <c r="K28" s="2"/>
      <c r="L28" s="2"/>
      <c r="M28" s="2"/>
      <c r="N28" s="2"/>
      <c r="O28" s="2"/>
      <c r="P28" s="2"/>
      <c r="Q28" s="2"/>
      <c r="R28" s="2"/>
      <c r="S28" s="2"/>
      <c r="T28" s="2"/>
      <c r="U28" s="2"/>
      <c r="V28" s="2"/>
      <c r="W28" s="2"/>
      <c r="X28" s="2"/>
      <c r="Y28" s="2"/>
    </row>
    <row r="29" spans="1:31" ht="15.75" customHeight="1" x14ac:dyDescent="0.2">
      <c r="A29" s="79" t="s">
        <v>48</v>
      </c>
      <c r="B29" s="51" t="str">
        <f>+IF(F29=0,0,MID(F29,LEN(F29)-3,1))</f>
        <v>3</v>
      </c>
      <c r="C29" s="80">
        <v>1</v>
      </c>
      <c r="D29" s="22" t="s">
        <v>13</v>
      </c>
      <c r="E29" s="13" t="str">
        <f>+IF(F29=0,0,CONCATENATE(MID(F29,FIND("-",F29,1)+1,4),"ORAS"))</f>
        <v>15 HORAS</v>
      </c>
      <c r="F29" s="14" t="s">
        <v>21</v>
      </c>
      <c r="G29" s="308">
        <f>+IF(F29="","",VLOOKUP(F29,$H$140:I$192,2,FALSE))</f>
        <v>514916</v>
      </c>
      <c r="H29" s="2"/>
      <c r="I29" s="2"/>
      <c r="J29" s="2"/>
      <c r="K29" s="2"/>
      <c r="L29" s="2"/>
      <c r="M29" s="2"/>
      <c r="N29" s="2"/>
      <c r="O29" s="2"/>
      <c r="P29" s="2"/>
      <c r="Q29" s="2"/>
      <c r="R29" s="2"/>
      <c r="S29" s="74" t="s">
        <v>45</v>
      </c>
      <c r="T29" s="75">
        <f>T4+T5+T6+T15+T16</f>
        <v>15</v>
      </c>
      <c r="U29" s="75">
        <f>SUM(U4:U7,U22)</f>
        <v>4</v>
      </c>
      <c r="V29" s="2"/>
      <c r="W29" s="2"/>
      <c r="X29" s="2"/>
      <c r="Y29" s="76">
        <f>SUM(Y4:Y26)</f>
        <v>3383629</v>
      </c>
    </row>
    <row r="30" spans="1:31" ht="15.75" x14ac:dyDescent="0.2">
      <c r="A30" s="79" t="s">
        <v>49</v>
      </c>
      <c r="B30" s="51">
        <v>3</v>
      </c>
      <c r="C30" s="80">
        <v>1</v>
      </c>
      <c r="D30" s="22" t="s">
        <v>13</v>
      </c>
      <c r="E30" s="13" t="str">
        <f t="shared" ref="E30" si="4">+IF(F30=0,0,CONCATENATE(MID(F30,FIND("-",F30,1)+1,4),"ORAS"))</f>
        <v>15 HORAS</v>
      </c>
      <c r="F30" s="14" t="s">
        <v>21</v>
      </c>
      <c r="G30" s="308">
        <f>+IF(F30="","",VLOOKUP(F30,$H$140:I$192,2,FALSE))</f>
        <v>514916</v>
      </c>
      <c r="H30" s="2"/>
      <c r="I30" s="2"/>
      <c r="J30" s="2"/>
      <c r="K30" s="2"/>
      <c r="L30" s="2"/>
      <c r="M30" s="2"/>
      <c r="N30" s="2"/>
      <c r="O30" s="2"/>
      <c r="P30" s="2"/>
      <c r="Q30" s="2"/>
      <c r="R30" s="2"/>
      <c r="S30" s="2"/>
      <c r="T30" s="2"/>
      <c r="U30" s="2"/>
      <c r="V30" s="2"/>
      <c r="W30" s="2"/>
      <c r="X30" s="2"/>
      <c r="Y30" s="2"/>
    </row>
    <row r="31" spans="1:31" ht="15.75" x14ac:dyDescent="0.2">
      <c r="A31" s="81"/>
      <c r="B31" s="51"/>
      <c r="C31" s="80"/>
      <c r="D31" s="22"/>
      <c r="E31" s="13"/>
      <c r="F31" s="57"/>
      <c r="G31" s="19"/>
      <c r="H31" s="2"/>
      <c r="I31" s="2"/>
      <c r="J31" s="2"/>
      <c r="K31" s="2"/>
      <c r="L31" s="2"/>
      <c r="M31" s="2"/>
      <c r="N31" s="2"/>
      <c r="O31" s="2"/>
      <c r="P31" s="2"/>
      <c r="Q31" s="2"/>
      <c r="R31" s="2"/>
      <c r="S31" s="2"/>
      <c r="T31" s="2"/>
      <c r="U31" s="2"/>
      <c r="V31" s="2"/>
      <c r="W31" s="2"/>
      <c r="X31" s="2"/>
      <c r="Y31" s="2"/>
    </row>
    <row r="32" spans="1:31" ht="15.75" x14ac:dyDescent="0.2">
      <c r="A32" s="81"/>
      <c r="B32" s="80"/>
      <c r="C32" s="80"/>
      <c r="D32" s="22"/>
      <c r="E32" s="13"/>
      <c r="F32" s="57"/>
      <c r="G32" s="19"/>
      <c r="H32" s="2"/>
      <c r="I32" s="2"/>
      <c r="J32" s="2"/>
      <c r="K32" s="2"/>
      <c r="L32" s="2"/>
      <c r="M32" s="2"/>
      <c r="N32" s="2"/>
      <c r="O32" s="2"/>
      <c r="P32" s="2"/>
      <c r="Q32" s="2"/>
      <c r="R32" s="2"/>
      <c r="S32" s="2"/>
      <c r="T32" s="2"/>
      <c r="U32" s="2"/>
      <c r="V32" s="2"/>
      <c r="W32" s="2"/>
      <c r="X32" s="2"/>
      <c r="Y32" s="2"/>
    </row>
    <row r="33" spans="1:25" ht="15.75" x14ac:dyDescent="0.2">
      <c r="A33" s="372" t="s">
        <v>33</v>
      </c>
      <c r="B33" s="372"/>
      <c r="C33" s="372"/>
      <c r="D33" s="372"/>
      <c r="E33" s="372"/>
      <c r="F33" s="372"/>
      <c r="G33" s="372"/>
      <c r="H33" s="2"/>
      <c r="I33" s="2"/>
      <c r="J33" s="2"/>
      <c r="K33" s="2"/>
      <c r="L33" s="2"/>
      <c r="M33" s="2"/>
      <c r="N33" s="2"/>
      <c r="O33" s="2"/>
      <c r="P33" s="2"/>
      <c r="Q33" s="2"/>
      <c r="R33" s="2"/>
      <c r="S33" s="2"/>
      <c r="T33" s="2"/>
      <c r="U33" s="2"/>
      <c r="V33" s="2"/>
      <c r="W33" s="2"/>
      <c r="X33" s="2"/>
      <c r="Y33" s="2"/>
    </row>
    <row r="34" spans="1:25" ht="15.75" x14ac:dyDescent="0.2">
      <c r="A34" s="64"/>
      <c r="B34" s="70" t="s">
        <v>5</v>
      </c>
      <c r="C34" s="70" t="s">
        <v>6</v>
      </c>
      <c r="D34" s="70" t="s">
        <v>7</v>
      </c>
      <c r="E34" s="70"/>
      <c r="F34" s="70" t="s">
        <v>9</v>
      </c>
      <c r="G34" s="70" t="s">
        <v>10</v>
      </c>
      <c r="H34" s="2"/>
      <c r="I34" s="2"/>
      <c r="J34" s="2"/>
      <c r="K34" s="2"/>
      <c r="L34" s="2"/>
      <c r="M34" s="2"/>
      <c r="N34" s="2"/>
      <c r="O34" s="2"/>
      <c r="P34" s="2"/>
      <c r="Q34" s="2"/>
      <c r="R34" s="2"/>
      <c r="S34" s="2"/>
      <c r="T34" s="2"/>
      <c r="U34" s="2"/>
      <c r="V34" s="2"/>
      <c r="W34" s="2"/>
      <c r="X34" s="2"/>
      <c r="Y34" s="82"/>
    </row>
    <row r="35" spans="1:25" ht="15.75" x14ac:dyDescent="0.25">
      <c r="A35" s="10" t="s">
        <v>50</v>
      </c>
      <c r="B35" s="51" t="str">
        <f>+IF(F35=0,0,MID(F35,LEN(F35)-3,1))</f>
        <v>3</v>
      </c>
      <c r="C35" s="83">
        <v>1</v>
      </c>
      <c r="D35" s="22" t="s">
        <v>13</v>
      </c>
      <c r="E35" s="13" t="str">
        <f>+IF(F35=0,0,CONCATENATE(MID(F35,FIND("-",F35,1)+1,4),"ORAS"))</f>
        <v>15 HORAS</v>
      </c>
      <c r="F35" s="14" t="s">
        <v>17</v>
      </c>
      <c r="G35" s="308">
        <f>+IF(F35="","",VLOOKUP(F35,$H$140:I$192,2,FALSE))</f>
        <v>443323</v>
      </c>
      <c r="H35" s="2"/>
      <c r="I35" s="2"/>
      <c r="J35" s="2"/>
      <c r="K35" s="2"/>
      <c r="L35" s="2"/>
      <c r="M35" s="2"/>
      <c r="N35" s="2"/>
      <c r="O35" s="2"/>
      <c r="P35" s="2"/>
      <c r="Q35" s="2"/>
      <c r="R35" s="2"/>
      <c r="S35" s="2"/>
      <c r="T35" s="2"/>
      <c r="U35" s="2"/>
      <c r="V35" s="2"/>
      <c r="W35" s="2"/>
      <c r="X35" s="2"/>
      <c r="Y35" s="82"/>
    </row>
    <row r="36" spans="1:25" ht="15.75" x14ac:dyDescent="0.25">
      <c r="A36" s="79" t="s">
        <v>51</v>
      </c>
      <c r="B36" s="51" t="str">
        <f>+IF(F36=0,0,MID(F36,LEN(F36)-3,1))</f>
        <v>3</v>
      </c>
      <c r="C36" s="83">
        <v>1</v>
      </c>
      <c r="D36" s="22" t="s">
        <v>13</v>
      </c>
      <c r="E36" s="13" t="str">
        <f>+IF(F36=0,0,CONCATENATE(MID(F36,FIND("-",F36,1)+1,4),"ORAS"))</f>
        <v>15 HORAS</v>
      </c>
      <c r="F36" s="14" t="s">
        <v>17</v>
      </c>
      <c r="G36" s="308">
        <f>+IF(F36="","",VLOOKUP(F36,$H$140:I$192,2,FALSE))</f>
        <v>443323</v>
      </c>
      <c r="H36" s="2"/>
      <c r="I36" s="2"/>
      <c r="J36" s="2"/>
      <c r="K36" s="2"/>
      <c r="L36" s="2"/>
      <c r="M36" s="2"/>
      <c r="N36" s="2"/>
      <c r="O36" s="2"/>
      <c r="P36" s="2"/>
      <c r="Q36" s="2"/>
      <c r="R36" s="2"/>
      <c r="S36" s="2"/>
      <c r="T36" s="2"/>
      <c r="U36" s="2"/>
      <c r="V36" s="2"/>
      <c r="W36" s="2"/>
      <c r="X36" s="2"/>
      <c r="Y36" s="2"/>
    </row>
    <row r="37" spans="1:25" ht="15.75" x14ac:dyDescent="0.25">
      <c r="A37" s="79" t="s">
        <v>52</v>
      </c>
      <c r="B37" s="51" t="str">
        <f>+IF(F37=0,0,MID(F37,LEN(F37)-3,1))</f>
        <v>3</v>
      </c>
      <c r="C37" s="83">
        <v>1</v>
      </c>
      <c r="D37" s="22" t="s">
        <v>13</v>
      </c>
      <c r="E37" s="13" t="str">
        <f>+IF(F37=0,0,CONCATENATE(MID(F37,FIND("-",F37,1)+1,4),"ORAS"))</f>
        <v>15 HORAS</v>
      </c>
      <c r="F37" s="14" t="s">
        <v>17</v>
      </c>
      <c r="G37" s="308">
        <f>+IF(F37="","",VLOOKUP(F37,$H$140:I$192,2,FALSE))</f>
        <v>443323</v>
      </c>
      <c r="H37" s="2"/>
      <c r="I37" s="2"/>
      <c r="J37" s="2"/>
      <c r="K37" s="2"/>
      <c r="L37" s="2"/>
      <c r="M37" s="2"/>
      <c r="N37" s="2"/>
      <c r="O37" s="2"/>
      <c r="P37" s="2"/>
      <c r="Q37" s="2"/>
      <c r="R37" s="2"/>
      <c r="S37" s="2"/>
      <c r="T37" s="2"/>
      <c r="U37" s="2"/>
      <c r="V37" s="2"/>
      <c r="W37" s="2"/>
      <c r="X37" s="2"/>
      <c r="Y37" s="2"/>
    </row>
    <row r="38" spans="1:25" ht="15.75" x14ac:dyDescent="0.25">
      <c r="A38" s="34" t="s">
        <v>53</v>
      </c>
      <c r="B38" s="51" t="str">
        <f>+IF(F38=0,0,MID(F38,LEN(F38)-3,1))</f>
        <v>3</v>
      </c>
      <c r="C38" s="83">
        <v>1</v>
      </c>
      <c r="D38" s="22" t="s">
        <v>13</v>
      </c>
      <c r="E38" s="13" t="str">
        <f>+IF(F38=0,0,CONCATENATE(MID(F38,FIND("-",F38,1)+1,4),"ORAS"))</f>
        <v>15 HORAS</v>
      </c>
      <c r="F38" s="14" t="s">
        <v>17</v>
      </c>
      <c r="G38" s="308">
        <f>+IF(F38="","",VLOOKUP(F38,$H$140:I$192,2,FALSE))</f>
        <v>443323</v>
      </c>
      <c r="H38" s="2"/>
      <c r="I38" s="2"/>
      <c r="J38" s="2"/>
      <c r="K38" s="2"/>
      <c r="L38" s="2"/>
      <c r="M38" s="2"/>
      <c r="N38" s="2"/>
      <c r="O38" s="2"/>
      <c r="P38" s="2"/>
      <c r="Q38" s="2"/>
      <c r="R38" s="2"/>
      <c r="S38" s="2"/>
      <c r="T38" s="2"/>
      <c r="U38" s="2"/>
      <c r="V38" s="2"/>
      <c r="W38" s="2"/>
      <c r="X38" s="2"/>
      <c r="Y38" s="2"/>
    </row>
    <row r="39" spans="1:25" ht="15.75" x14ac:dyDescent="0.25">
      <c r="A39" s="84"/>
      <c r="B39" s="51"/>
      <c r="C39" s="83"/>
      <c r="D39" s="22"/>
      <c r="E39" s="13">
        <f>+IF(F39=0,0,CONCATENATE(MID(F39,FIND("-",F39,1)+1,4),"ORAS"))</f>
        <v>0</v>
      </c>
      <c r="F39" s="14">
        <v>0</v>
      </c>
      <c r="G39" s="19">
        <f>+IF(F39="","",VLOOKUP(F39,$H$140:I$192,2,FALSE))</f>
        <v>0</v>
      </c>
      <c r="H39" s="2"/>
      <c r="I39" s="2"/>
      <c r="J39" s="2"/>
      <c r="K39" s="2"/>
      <c r="L39" s="2"/>
      <c r="M39" s="2"/>
      <c r="N39" s="2"/>
      <c r="O39" s="2"/>
      <c r="P39" s="2"/>
      <c r="Q39" s="2"/>
      <c r="R39" s="2"/>
      <c r="S39" s="2"/>
      <c r="T39" s="2"/>
      <c r="U39" s="2"/>
      <c r="V39" s="2"/>
      <c r="W39" s="2"/>
      <c r="X39" s="2"/>
      <c r="Y39" s="2"/>
    </row>
    <row r="40" spans="1:25" ht="15.75" x14ac:dyDescent="0.2">
      <c r="A40" s="85"/>
      <c r="B40" s="16"/>
      <c r="C40" s="86"/>
      <c r="D40" s="43"/>
      <c r="E40" s="13"/>
      <c r="F40" s="57"/>
      <c r="G40" s="19"/>
      <c r="H40" s="2"/>
      <c r="I40" s="2"/>
      <c r="J40" s="2"/>
      <c r="K40" s="2"/>
      <c r="L40" s="2"/>
      <c r="M40" s="2"/>
      <c r="N40" s="2"/>
      <c r="O40" s="2"/>
      <c r="P40" s="2"/>
      <c r="Q40" s="2"/>
      <c r="R40" s="2"/>
      <c r="S40" s="2"/>
      <c r="T40" s="2"/>
      <c r="U40" s="2"/>
      <c r="V40" s="2"/>
      <c r="W40" s="2"/>
      <c r="X40" s="2"/>
      <c r="Y40" s="2"/>
    </row>
    <row r="41" spans="1:25" ht="15.75" x14ac:dyDescent="0.2">
      <c r="A41" s="60" t="s">
        <v>42</v>
      </c>
      <c r="B41" s="61">
        <f>+B27+B28+B29+B35+B36+B37+B38+B39+B30</f>
        <v>25</v>
      </c>
      <c r="C41" s="62">
        <f>SUM(C27:C32)+C35+C36+C37+C38+C39+C40</f>
        <v>8</v>
      </c>
      <c r="D41" s="62"/>
      <c r="E41" s="13">
        <f>+IF(F41=0,0,CONCATENATE(MID(F41,FIND("-",F41,1)+1,3),"ORAS"))</f>
        <v>0</v>
      </c>
      <c r="F41" s="62"/>
      <c r="G41" s="44">
        <f>SUM(G27:G32,G35:G40)</f>
        <v>3901004</v>
      </c>
      <c r="H41" s="2"/>
      <c r="I41" s="2"/>
      <c r="J41" s="2"/>
      <c r="K41" s="2"/>
      <c r="L41" s="2"/>
      <c r="M41" s="2"/>
      <c r="N41" s="2"/>
      <c r="O41" s="2"/>
      <c r="P41" s="2"/>
      <c r="Q41" s="2"/>
      <c r="R41" s="2"/>
      <c r="S41" s="2"/>
      <c r="T41" s="2"/>
      <c r="U41" s="2"/>
      <c r="V41" s="2"/>
      <c r="W41" s="2"/>
      <c r="X41" s="2"/>
      <c r="Y41" s="2"/>
    </row>
    <row r="42" spans="1:25" ht="15.75" x14ac:dyDescent="0.2">
      <c r="A42" s="373" t="s">
        <v>54</v>
      </c>
      <c r="B42" s="373"/>
      <c r="C42" s="373"/>
      <c r="D42" s="373"/>
      <c r="E42" s="373"/>
      <c r="F42" s="373"/>
      <c r="G42" s="373"/>
      <c r="H42" s="2"/>
      <c r="I42" s="2"/>
      <c r="J42" s="2"/>
      <c r="K42" s="2"/>
      <c r="L42" s="2"/>
      <c r="M42" s="2"/>
      <c r="N42" s="2"/>
      <c r="O42" s="2"/>
      <c r="P42" s="2"/>
      <c r="Q42" s="2"/>
      <c r="R42" s="2"/>
      <c r="S42" s="2"/>
      <c r="T42" s="2"/>
      <c r="U42" s="2"/>
      <c r="V42" s="2"/>
      <c r="W42" s="2"/>
      <c r="X42" s="2"/>
      <c r="Y42" s="2"/>
    </row>
    <row r="43" spans="1:25" ht="15.75" x14ac:dyDescent="0.2">
      <c r="A43" s="373" t="s">
        <v>1</v>
      </c>
      <c r="B43" s="373"/>
      <c r="C43" s="373"/>
      <c r="D43" s="373"/>
      <c r="E43" s="373"/>
      <c r="F43" s="373"/>
      <c r="G43" s="373"/>
      <c r="H43" s="2"/>
      <c r="I43" s="2"/>
      <c r="J43" s="2"/>
      <c r="K43" s="2"/>
      <c r="L43" s="2"/>
      <c r="M43" s="2"/>
      <c r="N43" s="2"/>
      <c r="O43" s="2"/>
      <c r="P43" s="2"/>
      <c r="Q43" s="2"/>
      <c r="R43" s="2"/>
      <c r="S43" s="2"/>
      <c r="T43" s="2"/>
      <c r="U43" s="2"/>
      <c r="V43" s="2"/>
      <c r="W43" s="2"/>
      <c r="X43" s="2"/>
      <c r="Y43" s="2"/>
    </row>
    <row r="44" spans="1:25" ht="15.75" x14ac:dyDescent="0.2">
      <c r="A44" s="87" t="s">
        <v>4</v>
      </c>
      <c r="B44" s="88" t="s">
        <v>5</v>
      </c>
      <c r="C44" s="88" t="s">
        <v>6</v>
      </c>
      <c r="D44" s="88" t="s">
        <v>7</v>
      </c>
      <c r="E44" s="88" t="s">
        <v>8</v>
      </c>
      <c r="F44" s="88" t="s">
        <v>9</v>
      </c>
      <c r="G44" s="88" t="s">
        <v>10</v>
      </c>
      <c r="H44" s="2"/>
      <c r="I44" s="2"/>
      <c r="J44" s="2"/>
      <c r="K44" s="2"/>
      <c r="L44" s="2"/>
      <c r="M44" s="2"/>
      <c r="N44" s="2"/>
      <c r="O44" s="2"/>
      <c r="P44" s="2"/>
      <c r="Q44" s="2"/>
      <c r="R44" s="2"/>
      <c r="S44" s="2"/>
      <c r="T44" s="2"/>
      <c r="U44" s="2"/>
      <c r="V44" s="2"/>
      <c r="W44" s="2"/>
      <c r="X44" s="2"/>
      <c r="Y44" s="2"/>
    </row>
    <row r="45" spans="1:25" ht="15.75" x14ac:dyDescent="0.2">
      <c r="A45" s="89"/>
      <c r="B45" s="90"/>
      <c r="C45" s="90"/>
      <c r="D45" s="91"/>
      <c r="E45" s="91"/>
      <c r="F45" s="91"/>
      <c r="G45" s="92"/>
      <c r="H45" s="2"/>
      <c r="I45" s="2"/>
      <c r="J45" s="2"/>
      <c r="K45" s="2"/>
      <c r="L45" s="2"/>
      <c r="M45" s="2"/>
      <c r="N45" s="2"/>
      <c r="O45" s="2"/>
      <c r="P45" s="2"/>
      <c r="Q45" s="2"/>
      <c r="R45" s="2"/>
      <c r="S45" s="2"/>
      <c r="T45" s="2"/>
      <c r="U45" s="2"/>
      <c r="V45" s="2"/>
      <c r="W45" s="2"/>
      <c r="X45" s="2"/>
      <c r="Y45" s="2"/>
    </row>
    <row r="46" spans="1:25" ht="1.5" customHeight="1" x14ac:dyDescent="0.2">
      <c r="A46" s="89"/>
      <c r="B46" s="90"/>
      <c r="C46" s="90"/>
      <c r="D46" s="90"/>
      <c r="E46" s="90"/>
      <c r="F46" s="90"/>
      <c r="G46" s="90"/>
      <c r="H46" s="2"/>
      <c r="I46" s="2"/>
      <c r="J46" s="2"/>
      <c r="K46" s="2"/>
      <c r="L46" s="2"/>
      <c r="M46" s="2"/>
      <c r="N46" s="2"/>
      <c r="O46" s="2"/>
      <c r="P46" s="2"/>
      <c r="Q46" s="2"/>
      <c r="R46" s="2"/>
      <c r="S46" s="2"/>
      <c r="T46" s="2"/>
      <c r="U46" s="2"/>
      <c r="V46" s="2"/>
      <c r="W46" s="2"/>
      <c r="X46" s="2"/>
      <c r="Y46" s="2"/>
    </row>
    <row r="47" spans="1:25" ht="15.75" x14ac:dyDescent="0.25">
      <c r="A47" s="53"/>
      <c r="B47" s="16"/>
      <c r="C47" s="83"/>
      <c r="D47" s="22"/>
      <c r="E47" s="13"/>
      <c r="F47" s="57"/>
      <c r="G47" s="57"/>
      <c r="H47" s="2"/>
      <c r="I47" s="2"/>
      <c r="J47" s="374"/>
      <c r="K47" s="374"/>
      <c r="L47" s="374"/>
      <c r="M47" s="374"/>
      <c r="N47" s="374"/>
      <c r="O47" s="374"/>
      <c r="P47" s="374"/>
      <c r="Q47" s="2"/>
      <c r="R47" s="2"/>
      <c r="S47" s="2"/>
      <c r="T47" s="2"/>
      <c r="U47" s="2"/>
      <c r="V47" s="2"/>
      <c r="W47" s="2"/>
      <c r="X47" s="2"/>
      <c r="Y47" s="2"/>
    </row>
    <row r="48" spans="1:25" ht="15.75" x14ac:dyDescent="0.2">
      <c r="A48" s="93"/>
      <c r="B48" s="16"/>
      <c r="C48" s="57"/>
      <c r="D48" s="57"/>
      <c r="E48" s="13"/>
      <c r="F48" s="57"/>
      <c r="G48" s="57"/>
      <c r="H48" s="2"/>
      <c r="I48" s="2"/>
      <c r="J48" s="374"/>
      <c r="K48" s="374"/>
      <c r="L48" s="374"/>
      <c r="M48" s="374"/>
      <c r="N48" s="374"/>
      <c r="O48" s="374"/>
      <c r="P48" s="374"/>
      <c r="Q48" s="2"/>
      <c r="R48" s="2"/>
      <c r="S48" s="2"/>
      <c r="T48" s="2"/>
      <c r="U48" s="2"/>
      <c r="V48" s="2"/>
      <c r="W48" s="2"/>
      <c r="X48" s="2"/>
      <c r="Y48" s="2"/>
    </row>
    <row r="49" spans="1:25" ht="15.75" x14ac:dyDescent="0.2">
      <c r="A49" s="93"/>
      <c r="B49" s="16"/>
      <c r="C49" s="57"/>
      <c r="D49" s="57"/>
      <c r="E49" s="13"/>
      <c r="F49" s="57"/>
      <c r="G49" s="57"/>
      <c r="H49" s="2"/>
      <c r="I49" s="2"/>
      <c r="J49" s="374"/>
      <c r="K49" s="374"/>
      <c r="L49" s="374"/>
      <c r="M49" s="374"/>
      <c r="N49" s="374"/>
      <c r="O49" s="374"/>
      <c r="P49" s="374"/>
      <c r="Q49" s="2"/>
      <c r="R49" s="2"/>
      <c r="S49" s="2"/>
      <c r="T49" s="2"/>
      <c r="U49" s="2"/>
      <c r="V49" s="2"/>
      <c r="W49" s="2"/>
      <c r="X49" s="2"/>
      <c r="Y49" s="2"/>
    </row>
    <row r="50" spans="1:25" ht="15.75" x14ac:dyDescent="0.2">
      <c r="A50" s="93"/>
      <c r="B50" s="16"/>
      <c r="C50" s="57"/>
      <c r="D50" s="57"/>
      <c r="E50" s="13"/>
      <c r="F50" s="57"/>
      <c r="G50" s="57"/>
      <c r="H50" s="2"/>
      <c r="I50" s="2"/>
      <c r="J50" s="374"/>
      <c r="K50" s="374"/>
      <c r="L50" s="374"/>
      <c r="M50" s="374"/>
      <c r="N50" s="374"/>
      <c r="O50" s="374"/>
      <c r="P50" s="374"/>
      <c r="Q50" s="2"/>
      <c r="R50" s="2"/>
      <c r="S50" s="2"/>
      <c r="T50" s="2"/>
      <c r="U50" s="2"/>
      <c r="V50" s="2"/>
      <c r="W50" s="2"/>
      <c r="X50" s="2"/>
      <c r="Y50" s="2"/>
    </row>
    <row r="51" spans="1:25" ht="15.75" x14ac:dyDescent="0.2">
      <c r="A51" s="93"/>
      <c r="B51" s="57"/>
      <c r="C51" s="57"/>
      <c r="D51" s="57"/>
      <c r="E51" s="13"/>
      <c r="F51" s="57"/>
      <c r="G51" s="57"/>
      <c r="H51" s="2"/>
      <c r="I51" s="2"/>
      <c r="J51" s="374"/>
      <c r="K51" s="374"/>
      <c r="L51" s="374"/>
      <c r="M51" s="374"/>
      <c r="N51" s="374"/>
      <c r="O51" s="374"/>
      <c r="P51" s="374"/>
      <c r="Q51" s="2"/>
      <c r="R51" s="2"/>
      <c r="S51" s="2"/>
      <c r="T51" s="2"/>
      <c r="U51" s="2"/>
      <c r="V51" s="2"/>
      <c r="W51" s="2"/>
      <c r="X51" s="2"/>
      <c r="Y51" s="2"/>
    </row>
    <row r="52" spans="1:25" ht="15.75" x14ac:dyDescent="0.2">
      <c r="A52" s="93"/>
      <c r="B52" s="57"/>
      <c r="C52" s="57"/>
      <c r="D52" s="57"/>
      <c r="E52" s="13"/>
      <c r="F52" s="57"/>
      <c r="G52" s="57"/>
      <c r="H52" s="2"/>
      <c r="I52" s="2"/>
      <c r="J52" s="374"/>
      <c r="K52" s="374"/>
      <c r="L52" s="374"/>
      <c r="M52" s="374"/>
      <c r="N52" s="374"/>
      <c r="O52" s="374"/>
      <c r="P52" s="374"/>
      <c r="Q52" s="2"/>
      <c r="R52" s="2"/>
      <c r="S52" s="2"/>
      <c r="T52" s="2"/>
      <c r="U52" s="2"/>
      <c r="V52" s="2"/>
      <c r="W52" s="2"/>
      <c r="X52" s="2"/>
      <c r="Y52" s="2"/>
    </row>
    <row r="53" spans="1:25" ht="15.75" x14ac:dyDescent="0.2">
      <c r="A53" s="376" t="s">
        <v>33</v>
      </c>
      <c r="B53" s="376"/>
      <c r="C53" s="376"/>
      <c r="D53" s="376"/>
      <c r="E53" s="376"/>
      <c r="F53" s="376"/>
      <c r="G53" s="376"/>
      <c r="H53" s="2"/>
      <c r="I53" s="2"/>
      <c r="J53" s="374"/>
      <c r="K53" s="374"/>
      <c r="L53" s="374"/>
      <c r="M53" s="374"/>
      <c r="N53" s="374"/>
      <c r="O53" s="374"/>
      <c r="P53" s="374"/>
      <c r="Q53" s="2"/>
      <c r="R53" s="2"/>
      <c r="S53" s="2"/>
      <c r="T53" s="2"/>
      <c r="U53" s="2"/>
      <c r="V53" s="2"/>
      <c r="W53" s="2"/>
      <c r="X53" s="2"/>
      <c r="Y53" s="2"/>
    </row>
    <row r="54" spans="1:25" ht="15.75" x14ac:dyDescent="0.2">
      <c r="A54" s="87" t="s">
        <v>4</v>
      </c>
      <c r="B54" s="88" t="s">
        <v>5</v>
      </c>
      <c r="C54" s="88" t="s">
        <v>6</v>
      </c>
      <c r="D54" s="88" t="s">
        <v>7</v>
      </c>
      <c r="E54" s="88" t="s">
        <v>8</v>
      </c>
      <c r="F54" s="88" t="s">
        <v>9</v>
      </c>
      <c r="G54" s="88" t="s">
        <v>10</v>
      </c>
      <c r="H54" s="2"/>
      <c r="I54" s="2"/>
      <c r="J54" s="374"/>
      <c r="K54" s="374"/>
      <c r="L54" s="374"/>
      <c r="M54" s="374"/>
      <c r="N54" s="374"/>
      <c r="O54" s="374"/>
      <c r="P54" s="374"/>
      <c r="Q54" s="2"/>
      <c r="R54" s="2"/>
      <c r="S54" s="2"/>
      <c r="T54" s="2"/>
      <c r="U54" s="2"/>
      <c r="V54" s="2"/>
      <c r="W54" s="2"/>
      <c r="X54" s="2"/>
      <c r="Y54" s="2"/>
    </row>
    <row r="55" spans="1:25" ht="15.75" x14ac:dyDescent="0.25">
      <c r="A55" s="53" t="s">
        <v>55</v>
      </c>
      <c r="B55" s="94" t="str">
        <f t="shared" ref="B55:B64" si="5">+IF(F55=0,0,MID(F55,LEN(F55)-3,1))</f>
        <v>3</v>
      </c>
      <c r="C55" s="83">
        <v>1</v>
      </c>
      <c r="D55" s="22" t="s">
        <v>13</v>
      </c>
      <c r="E55" s="13" t="str">
        <f t="shared" ref="E55:E64" si="6">+IF(F55=0,0,CONCATENATE(MID(F55,FIND("-",F55,1)+1,4),"ORAS"))</f>
        <v>15 HORAS</v>
      </c>
      <c r="F55" s="14" t="s">
        <v>17</v>
      </c>
      <c r="G55" s="308">
        <f>+IF(F55="","",VLOOKUP(F55,$H$140:I$192,2,FALSE))</f>
        <v>443323</v>
      </c>
      <c r="H55" s="2"/>
      <c r="I55" s="2"/>
      <c r="J55" s="374"/>
      <c r="K55" s="374"/>
      <c r="L55" s="374"/>
      <c r="M55" s="374"/>
      <c r="N55" s="374"/>
      <c r="O55" s="374"/>
      <c r="P55" s="374"/>
      <c r="Q55" s="2"/>
      <c r="R55" s="2"/>
      <c r="S55" s="2"/>
      <c r="T55" s="2"/>
      <c r="U55" s="2"/>
      <c r="V55" s="2"/>
      <c r="W55" s="2"/>
      <c r="X55" s="2"/>
      <c r="Y55" s="2"/>
    </row>
    <row r="56" spans="1:25" ht="15.75" x14ac:dyDescent="0.25">
      <c r="A56" s="53" t="s">
        <v>56</v>
      </c>
      <c r="B56" s="94" t="str">
        <f t="shared" si="5"/>
        <v>3</v>
      </c>
      <c r="C56" s="83">
        <v>1</v>
      </c>
      <c r="D56" s="22" t="s">
        <v>13</v>
      </c>
      <c r="E56" s="13" t="str">
        <f t="shared" si="6"/>
        <v>15 HORAS</v>
      </c>
      <c r="F56" s="14" t="s">
        <v>17</v>
      </c>
      <c r="G56" s="308">
        <f>+IF(F56="","",VLOOKUP(F56,$H$140:I$192,2,FALSE))</f>
        <v>443323</v>
      </c>
      <c r="H56" s="2"/>
      <c r="I56" s="2"/>
      <c r="J56" s="374"/>
      <c r="K56" s="374"/>
      <c r="L56" s="374"/>
      <c r="M56" s="374"/>
      <c r="N56" s="374"/>
      <c r="O56" s="374"/>
      <c r="P56" s="374"/>
      <c r="Q56" s="2"/>
      <c r="R56" s="2"/>
      <c r="S56" s="2"/>
      <c r="T56" s="2"/>
      <c r="U56" s="2"/>
      <c r="V56" s="2"/>
      <c r="W56" s="2"/>
      <c r="X56" s="2"/>
      <c r="Y56" s="2"/>
    </row>
    <row r="57" spans="1:25" ht="15.75" x14ac:dyDescent="0.25">
      <c r="A57" s="53" t="s">
        <v>57</v>
      </c>
      <c r="B57" s="94" t="str">
        <f t="shared" si="5"/>
        <v>3</v>
      </c>
      <c r="C57" s="83">
        <v>1</v>
      </c>
      <c r="D57" s="22" t="s">
        <v>13</v>
      </c>
      <c r="E57" s="13" t="str">
        <f t="shared" si="6"/>
        <v>15 HORAS</v>
      </c>
      <c r="F57" s="14" t="s">
        <v>17</v>
      </c>
      <c r="G57" s="308">
        <f>+IF(F57="","",VLOOKUP(F57,$H$140:I$192,2,FALSE))</f>
        <v>443323</v>
      </c>
      <c r="H57" s="2"/>
      <c r="I57" s="2"/>
      <c r="J57" s="374"/>
      <c r="K57" s="374"/>
      <c r="L57" s="374"/>
      <c r="M57" s="374"/>
      <c r="N57" s="374"/>
      <c r="O57" s="374"/>
      <c r="P57" s="374"/>
      <c r="Q57" s="2"/>
      <c r="R57" s="2"/>
      <c r="S57" s="2"/>
      <c r="T57" s="2"/>
      <c r="U57" s="2"/>
      <c r="V57" s="2"/>
      <c r="W57" s="2"/>
      <c r="X57" s="2"/>
      <c r="Y57" s="2"/>
    </row>
    <row r="58" spans="1:25" ht="15.75" x14ac:dyDescent="0.25">
      <c r="A58" s="53" t="s">
        <v>253</v>
      </c>
      <c r="B58" s="94" t="str">
        <f t="shared" si="5"/>
        <v>3</v>
      </c>
      <c r="C58" s="83">
        <v>1</v>
      </c>
      <c r="D58" s="22" t="s">
        <v>13</v>
      </c>
      <c r="E58" s="13" t="str">
        <f t="shared" si="6"/>
        <v>15 HORAS</v>
      </c>
      <c r="F58" s="14" t="s">
        <v>17</v>
      </c>
      <c r="G58" s="308">
        <f>+IF(F58="","",VLOOKUP(F58,$H$140:I$192,2,FALSE))</f>
        <v>443323</v>
      </c>
      <c r="H58" s="2"/>
      <c r="I58" s="2"/>
      <c r="J58" s="374"/>
      <c r="K58" s="374"/>
      <c r="L58" s="374"/>
      <c r="M58" s="374"/>
      <c r="N58" s="374"/>
      <c r="O58" s="374"/>
      <c r="P58" s="374"/>
      <c r="Q58" s="2"/>
      <c r="R58" s="2"/>
      <c r="S58" s="2"/>
      <c r="T58" s="2"/>
      <c r="U58" s="2"/>
      <c r="V58" s="2"/>
      <c r="W58" s="2"/>
      <c r="X58" s="2"/>
      <c r="Y58" s="2"/>
    </row>
    <row r="59" spans="1:25" ht="15.75" x14ac:dyDescent="0.25">
      <c r="A59" s="96" t="s">
        <v>254</v>
      </c>
      <c r="B59" s="94" t="str">
        <f t="shared" si="5"/>
        <v>3</v>
      </c>
      <c r="C59" s="83">
        <v>1</v>
      </c>
      <c r="D59" s="22" t="s">
        <v>13</v>
      </c>
      <c r="E59" s="13" t="str">
        <f t="shared" si="6"/>
        <v>15 HORAS</v>
      </c>
      <c r="F59" s="14" t="s">
        <v>17</v>
      </c>
      <c r="G59" s="308">
        <f>+IF(F59="","",VLOOKUP(F59,$H$140:I$192,2,FALSE))</f>
        <v>443323</v>
      </c>
      <c r="H59" s="2"/>
      <c r="I59" s="2"/>
      <c r="J59" s="374"/>
      <c r="K59" s="374"/>
      <c r="L59" s="374"/>
      <c r="M59" s="374"/>
      <c r="N59" s="374"/>
      <c r="O59" s="374"/>
      <c r="P59" s="374"/>
      <c r="Q59" s="2"/>
      <c r="R59" s="2"/>
      <c r="S59" s="2"/>
      <c r="T59" s="2"/>
      <c r="U59" s="2"/>
      <c r="V59" s="2"/>
      <c r="W59" s="2"/>
      <c r="X59" s="2"/>
      <c r="Y59" s="2"/>
    </row>
    <row r="60" spans="1:25" ht="15.75" x14ac:dyDescent="0.25">
      <c r="A60" s="96" t="s">
        <v>255</v>
      </c>
      <c r="B60" s="94" t="str">
        <f t="shared" si="5"/>
        <v>3</v>
      </c>
      <c r="C60" s="83">
        <v>1</v>
      </c>
      <c r="D60" s="22" t="s">
        <v>13</v>
      </c>
      <c r="E60" s="13" t="str">
        <f t="shared" si="6"/>
        <v>15 HORAS</v>
      </c>
      <c r="F60" s="14" t="s">
        <v>17</v>
      </c>
      <c r="G60" s="308">
        <f>+IF(F60="","",VLOOKUP(F60,$H$140:I$192,2,FALSE))</f>
        <v>443323</v>
      </c>
      <c r="H60" s="2"/>
      <c r="I60" s="2"/>
      <c r="J60" s="374"/>
      <c r="K60" s="374"/>
      <c r="L60" s="374"/>
      <c r="M60" s="374"/>
      <c r="N60" s="374"/>
      <c r="O60" s="374"/>
      <c r="P60" s="374"/>
      <c r="Q60" s="2"/>
      <c r="R60" s="2"/>
      <c r="S60" s="2"/>
      <c r="T60" s="2"/>
      <c r="U60" s="2"/>
      <c r="V60" s="2"/>
      <c r="W60" s="2"/>
      <c r="X60" s="2"/>
      <c r="Y60" s="2"/>
    </row>
    <row r="61" spans="1:25" ht="15.75" x14ac:dyDescent="0.25">
      <c r="A61" s="96" t="s">
        <v>256</v>
      </c>
      <c r="B61" s="94" t="str">
        <f t="shared" si="5"/>
        <v>3</v>
      </c>
      <c r="C61" s="83">
        <v>1</v>
      </c>
      <c r="D61" s="22" t="s">
        <v>13</v>
      </c>
      <c r="E61" s="13" t="str">
        <f t="shared" si="6"/>
        <v>15 HORAS</v>
      </c>
      <c r="F61" s="14" t="s">
        <v>17</v>
      </c>
      <c r="G61" s="308">
        <f>+IF(F61="","",VLOOKUP(F61,$H$140:I$192,2,FALSE))</f>
        <v>443323</v>
      </c>
      <c r="H61" s="2"/>
      <c r="I61" s="2"/>
      <c r="J61" s="374"/>
      <c r="K61" s="374"/>
      <c r="L61" s="374"/>
      <c r="M61" s="374"/>
      <c r="N61" s="374"/>
      <c r="O61" s="374"/>
      <c r="P61" s="374"/>
      <c r="Q61" s="2"/>
      <c r="R61" s="2"/>
      <c r="S61" s="2"/>
      <c r="T61" s="2"/>
      <c r="U61" s="2"/>
      <c r="V61" s="2"/>
      <c r="W61" s="2"/>
      <c r="X61" s="2"/>
      <c r="Y61" s="2"/>
    </row>
    <row r="62" spans="1:25" ht="15.75" x14ac:dyDescent="0.25">
      <c r="A62" s="96" t="s">
        <v>257</v>
      </c>
      <c r="B62" s="94" t="str">
        <f t="shared" si="5"/>
        <v>3</v>
      </c>
      <c r="C62" s="83">
        <v>1</v>
      </c>
      <c r="D62" s="22" t="s">
        <v>13</v>
      </c>
      <c r="E62" s="13" t="str">
        <f t="shared" si="6"/>
        <v>15 HORAS</v>
      </c>
      <c r="F62" s="14" t="s">
        <v>17</v>
      </c>
      <c r="G62" s="308">
        <f>+IF(F62="","",VLOOKUP(F62,$H$140:I$192,2,FALSE))</f>
        <v>443323</v>
      </c>
      <c r="H62" s="2"/>
      <c r="I62" s="2"/>
      <c r="J62" s="374"/>
      <c r="K62" s="374"/>
      <c r="L62" s="374"/>
      <c r="M62" s="374"/>
      <c r="N62" s="374"/>
      <c r="O62" s="374"/>
      <c r="P62" s="374"/>
      <c r="Q62" s="2"/>
      <c r="R62" s="2"/>
      <c r="S62" s="2"/>
      <c r="T62" s="2"/>
      <c r="U62" s="2"/>
      <c r="V62" s="2"/>
      <c r="W62" s="2"/>
      <c r="X62" s="2"/>
      <c r="Y62" s="2"/>
    </row>
    <row r="63" spans="1:25" ht="15.75" x14ac:dyDescent="0.25">
      <c r="A63" s="95" t="s">
        <v>58</v>
      </c>
      <c r="B63" s="94" t="str">
        <f t="shared" si="5"/>
        <v>2</v>
      </c>
      <c r="C63" s="83">
        <v>1</v>
      </c>
      <c r="D63" s="22" t="s">
        <v>13</v>
      </c>
      <c r="E63" s="13" t="str">
        <f t="shared" si="6"/>
        <v>15 HORAS</v>
      </c>
      <c r="F63" s="14" t="s">
        <v>138</v>
      </c>
      <c r="G63" s="316">
        <f>+IF(F63="","",VLOOKUP(F63,$H$140:I$192,2,FALSE))</f>
        <v>388652</v>
      </c>
      <c r="H63" s="2"/>
      <c r="I63" s="2"/>
      <c r="J63" s="374"/>
      <c r="K63" s="374"/>
      <c r="L63" s="374"/>
      <c r="M63" s="374"/>
      <c r="N63" s="374"/>
      <c r="O63" s="374"/>
      <c r="P63" s="374"/>
      <c r="Q63" s="2"/>
      <c r="R63" s="2"/>
      <c r="S63" s="2"/>
      <c r="T63" s="2"/>
      <c r="U63" s="2"/>
      <c r="V63" s="2"/>
      <c r="W63" s="2"/>
      <c r="X63" s="2"/>
      <c r="Y63" s="2"/>
    </row>
    <row r="64" spans="1:25" ht="15.75" x14ac:dyDescent="0.25">
      <c r="A64" s="95" t="s">
        <v>59</v>
      </c>
      <c r="B64" s="94" t="str">
        <f t="shared" si="5"/>
        <v>3</v>
      </c>
      <c r="C64" s="83">
        <v>1</v>
      </c>
      <c r="D64" s="22" t="s">
        <v>13</v>
      </c>
      <c r="E64" s="13" t="str">
        <f t="shared" si="6"/>
        <v>15 HORAS</v>
      </c>
      <c r="F64" s="14" t="s">
        <v>17</v>
      </c>
      <c r="G64" s="308">
        <f>+IF(F64="","",VLOOKUP(F64,$H$140:I$192,2,FALSE))</f>
        <v>443323</v>
      </c>
      <c r="H64" s="2"/>
      <c r="I64" s="2"/>
      <c r="J64" s="374"/>
      <c r="K64" s="374"/>
      <c r="L64" s="374"/>
      <c r="M64" s="374"/>
      <c r="N64" s="374"/>
      <c r="O64" s="374"/>
      <c r="P64" s="374"/>
      <c r="Q64" s="2"/>
      <c r="R64" s="2"/>
      <c r="S64" s="2"/>
      <c r="T64" s="2"/>
      <c r="U64" s="2"/>
      <c r="V64" s="2"/>
      <c r="W64" s="2"/>
      <c r="X64" s="2"/>
      <c r="Y64" s="2"/>
    </row>
    <row r="65" spans="1:31" ht="15.75" x14ac:dyDescent="0.25">
      <c r="A65" s="93"/>
      <c r="B65" s="16"/>
      <c r="C65" s="83"/>
      <c r="D65" s="97"/>
      <c r="E65" s="14"/>
      <c r="F65" s="14"/>
      <c r="G65" s="30"/>
      <c r="H65" s="2"/>
      <c r="I65" s="2"/>
      <c r="J65" s="374"/>
      <c r="K65" s="374"/>
      <c r="L65" s="374"/>
      <c r="M65" s="374"/>
      <c r="N65" s="374"/>
      <c r="O65" s="374"/>
      <c r="P65" s="374"/>
      <c r="Q65" s="2"/>
      <c r="R65" s="2"/>
      <c r="S65" s="2"/>
      <c r="T65" s="2"/>
      <c r="U65" s="2"/>
      <c r="V65" s="2"/>
      <c r="W65" s="2"/>
      <c r="X65" s="2"/>
      <c r="Y65" s="2"/>
    </row>
    <row r="66" spans="1:31" ht="15.75" x14ac:dyDescent="0.2">
      <c r="A66" s="93" t="s">
        <v>42</v>
      </c>
      <c r="B66" s="61">
        <f>B47+B48+B49+B50+B51+B52+B55+B56+B57+B58+B59+B60+B61+B62+B63+B64</f>
        <v>29</v>
      </c>
      <c r="C66" s="62">
        <f>SUM(C47:C52,C55:C65)</f>
        <v>10</v>
      </c>
      <c r="D66" s="62"/>
      <c r="E66" s="98"/>
      <c r="F66" s="62"/>
      <c r="G66" s="44">
        <f>SUM(G47:G52,G55:G65)</f>
        <v>4378559</v>
      </c>
      <c r="H66" s="2"/>
      <c r="I66" s="2"/>
      <c r="J66" s="374"/>
      <c r="K66" s="374"/>
      <c r="L66" s="374"/>
      <c r="M66" s="374"/>
      <c r="N66" s="374"/>
      <c r="O66" s="374"/>
      <c r="P66" s="374"/>
      <c r="Q66" s="2"/>
      <c r="R66" s="2"/>
      <c r="S66" s="2"/>
      <c r="T66" s="2"/>
      <c r="U66" s="2"/>
      <c r="V66" s="2"/>
      <c r="W66" s="2"/>
      <c r="X66" s="2"/>
      <c r="Y66" s="2"/>
    </row>
    <row r="67" spans="1:31" ht="15" x14ac:dyDescent="0.2">
      <c r="A67" s="2"/>
      <c r="B67" s="2"/>
      <c r="C67" s="2"/>
      <c r="D67" s="2"/>
      <c r="E67" s="2"/>
      <c r="F67" s="2"/>
      <c r="G67" s="2"/>
      <c r="H67" s="2"/>
      <c r="I67" s="2"/>
      <c r="J67" s="2"/>
      <c r="K67" s="2"/>
      <c r="L67" s="2"/>
      <c r="M67" s="2"/>
      <c r="N67" s="2"/>
      <c r="O67" s="2"/>
      <c r="P67" s="2"/>
      <c r="Q67" s="2"/>
      <c r="R67" s="2"/>
      <c r="S67" s="2"/>
      <c r="T67" s="2"/>
      <c r="U67" s="2"/>
      <c r="V67" s="2"/>
      <c r="W67" s="2"/>
      <c r="X67" s="2"/>
      <c r="Y67" s="2"/>
    </row>
    <row r="68" spans="1:31" ht="15" x14ac:dyDescent="0.2">
      <c r="A68" s="74" t="s">
        <v>45</v>
      </c>
      <c r="B68" s="99">
        <f>B66+B41+B23</f>
        <v>81</v>
      </c>
      <c r="C68" s="99">
        <f>C66+C41+C23</f>
        <v>25</v>
      </c>
      <c r="D68" s="74"/>
      <c r="E68" s="2"/>
      <c r="F68" s="2"/>
      <c r="G68" s="44">
        <f>SUM(G23,G41,G66)</f>
        <v>12603035</v>
      </c>
      <c r="H68" s="2"/>
      <c r="I68" s="2"/>
      <c r="J68" s="2"/>
      <c r="K68" s="2"/>
      <c r="L68" s="2"/>
      <c r="M68" s="2"/>
      <c r="N68" s="2"/>
      <c r="O68" s="2"/>
      <c r="P68" s="2"/>
      <c r="Q68" s="2"/>
      <c r="R68" s="2"/>
      <c r="S68" s="2"/>
      <c r="T68" s="2"/>
      <c r="U68" s="2"/>
      <c r="V68" s="2"/>
      <c r="W68" s="2"/>
      <c r="X68" s="2"/>
      <c r="Y68" s="2"/>
    </row>
    <row r="69" spans="1:31" ht="15.75" x14ac:dyDescent="0.25">
      <c r="A69" s="2"/>
      <c r="B69" s="2"/>
      <c r="C69" s="2"/>
      <c r="D69" s="2"/>
      <c r="E69" s="2"/>
      <c r="F69" s="2"/>
      <c r="G69" s="2"/>
      <c r="H69" s="2"/>
      <c r="I69" s="2"/>
      <c r="J69" s="100" t="s">
        <v>60</v>
      </c>
      <c r="K69" s="101">
        <f>K26+B68+T29+AB26</f>
        <v>108</v>
      </c>
      <c r="L69" s="102"/>
      <c r="M69" s="103"/>
      <c r="N69" s="103"/>
      <c r="O69" s="103"/>
      <c r="P69" s="103"/>
      <c r="Q69" s="2"/>
      <c r="R69" s="2"/>
      <c r="S69" s="2"/>
      <c r="T69" s="2"/>
      <c r="U69" s="2"/>
      <c r="V69" s="2"/>
      <c r="W69" s="2"/>
      <c r="X69" s="2"/>
      <c r="Y69" s="2"/>
    </row>
    <row r="70" spans="1:31" ht="16.5" thickBot="1" x14ac:dyDescent="0.3">
      <c r="A70" s="2"/>
      <c r="B70" s="2"/>
      <c r="C70" s="2"/>
      <c r="D70" s="2"/>
      <c r="E70" s="2"/>
      <c r="F70" s="2"/>
      <c r="G70" s="2"/>
      <c r="H70" s="2"/>
      <c r="I70" s="2"/>
      <c r="J70" s="100" t="s">
        <v>61</v>
      </c>
      <c r="K70" s="104">
        <f>L26+C68+U29+AC26</f>
        <v>34</v>
      </c>
      <c r="L70" s="2"/>
      <c r="M70" s="105" t="s">
        <v>0</v>
      </c>
      <c r="N70" s="105" t="s">
        <v>43</v>
      </c>
      <c r="O70" s="105" t="s">
        <v>54</v>
      </c>
      <c r="P70" s="106"/>
      <c r="R70" s="107"/>
      <c r="T70" s="2"/>
      <c r="U70" s="2"/>
      <c r="V70" s="2"/>
      <c r="W70" s="2"/>
      <c r="X70" s="2"/>
      <c r="Y70" s="2"/>
    </row>
    <row r="71" spans="1:31" ht="27" customHeight="1" thickBot="1" x14ac:dyDescent="0.3">
      <c r="A71" s="2"/>
      <c r="B71" s="2"/>
      <c r="C71" s="2"/>
      <c r="D71" s="2"/>
      <c r="E71" s="2"/>
      <c r="F71" s="2"/>
      <c r="G71" s="2"/>
      <c r="H71" s="2"/>
      <c r="I71" s="2"/>
      <c r="J71" s="108" t="s">
        <v>62</v>
      </c>
      <c r="K71" s="377">
        <f>SUM(G68,P26,Y29)</f>
        <v>18007575</v>
      </c>
      <c r="L71" s="378"/>
      <c r="M71" s="109">
        <f>SUM(G4:G12,G16:G22,Y20:Y21)</f>
        <v>5069940</v>
      </c>
      <c r="N71" s="110">
        <f>SUM(G27:G32,G35:G40,P4:P15,P18:P25,Y4:Y7,Y15:Y16,Y22:Y23)</f>
        <v>8185842</v>
      </c>
      <c r="O71" s="109">
        <f>SUM(G47:G52,G55:G64,Y24)</f>
        <v>4751793</v>
      </c>
      <c r="P71" s="111">
        <f>SUM(M71:O71)</f>
        <v>18007575</v>
      </c>
      <c r="R71" s="112"/>
      <c r="S71" s="113"/>
      <c r="T71" s="2"/>
      <c r="U71" s="2"/>
      <c r="V71" s="2"/>
      <c r="W71" s="2"/>
      <c r="X71" s="2"/>
      <c r="Y71" s="2"/>
    </row>
    <row r="72" spans="1:31" ht="13.5" thickBot="1" x14ac:dyDescent="0.25"/>
    <row r="73" spans="1:31" ht="36" customHeight="1" thickBot="1" x14ac:dyDescent="0.25">
      <c r="A73" s="365" t="s">
        <v>63</v>
      </c>
      <c r="B73" s="366"/>
      <c r="C73" s="366"/>
      <c r="D73" s="366"/>
      <c r="E73" s="366"/>
      <c r="F73" s="366"/>
      <c r="G73" s="366"/>
      <c r="H73" s="366"/>
      <c r="I73" s="366"/>
      <c r="J73" s="366"/>
      <c r="K73" s="366"/>
      <c r="L73" s="366"/>
      <c r="M73" s="366"/>
      <c r="N73" s="366"/>
      <c r="O73" s="366"/>
      <c r="P73" s="366"/>
      <c r="Q73" s="366"/>
      <c r="R73" s="366"/>
      <c r="S73" s="366"/>
      <c r="T73" s="366"/>
      <c r="U73" s="366"/>
      <c r="V73" s="366"/>
      <c r="W73" s="366"/>
      <c r="X73" s="366"/>
      <c r="Y73" s="366"/>
      <c r="Z73" s="366"/>
      <c r="AA73" s="366"/>
      <c r="AB73" s="366"/>
      <c r="AC73" s="366"/>
      <c r="AD73" s="366"/>
      <c r="AE73" s="367"/>
    </row>
    <row r="74" spans="1:31" ht="286.5" customHeight="1" x14ac:dyDescent="0.2">
      <c r="A74" s="359" t="s">
        <v>260</v>
      </c>
      <c r="B74" s="360"/>
      <c r="C74" s="360"/>
      <c r="D74" s="360"/>
      <c r="E74" s="360"/>
      <c r="F74" s="360"/>
      <c r="G74" s="360"/>
      <c r="H74" s="360"/>
      <c r="I74" s="360"/>
      <c r="J74" s="360"/>
      <c r="K74" s="360"/>
      <c r="L74" s="360"/>
      <c r="M74" s="360"/>
      <c r="N74" s="360"/>
      <c r="O74" s="360"/>
      <c r="P74" s="360"/>
      <c r="Q74" s="360"/>
      <c r="R74" s="360"/>
      <c r="S74" s="360"/>
      <c r="T74" s="360"/>
      <c r="U74" s="360"/>
      <c r="V74" s="360"/>
      <c r="W74" s="360"/>
      <c r="X74" s="360"/>
      <c r="Y74" s="360"/>
      <c r="Z74" s="360"/>
      <c r="AA74" s="360"/>
      <c r="AB74" s="360"/>
      <c r="AC74" s="360"/>
      <c r="AD74" s="360"/>
      <c r="AE74" s="360"/>
    </row>
    <row r="75" spans="1:31" ht="222.75" customHeight="1" x14ac:dyDescent="0.2">
      <c r="A75" s="361"/>
      <c r="B75" s="360"/>
      <c r="C75" s="360"/>
      <c r="D75" s="360"/>
      <c r="E75" s="360"/>
      <c r="F75" s="360"/>
      <c r="G75" s="360"/>
      <c r="H75" s="360"/>
      <c r="I75" s="360"/>
      <c r="J75" s="360"/>
      <c r="K75" s="360"/>
      <c r="L75" s="360"/>
      <c r="M75" s="360"/>
      <c r="N75" s="360"/>
      <c r="O75" s="360"/>
      <c r="P75" s="360"/>
      <c r="Q75" s="360"/>
      <c r="R75" s="360"/>
      <c r="S75" s="360"/>
      <c r="T75" s="360"/>
      <c r="U75" s="360"/>
      <c r="V75" s="360"/>
      <c r="W75" s="360"/>
      <c r="X75" s="360"/>
      <c r="Y75" s="360"/>
      <c r="Z75" s="360"/>
      <c r="AA75" s="360"/>
      <c r="AB75" s="360"/>
      <c r="AC75" s="360"/>
      <c r="AD75" s="360"/>
      <c r="AE75" s="360"/>
    </row>
    <row r="76" spans="1:31" ht="109.5" customHeight="1" x14ac:dyDescent="0.2">
      <c r="A76" s="361"/>
      <c r="B76" s="360"/>
      <c r="C76" s="360"/>
      <c r="D76" s="360"/>
      <c r="E76" s="360"/>
      <c r="F76" s="360"/>
      <c r="G76" s="360"/>
      <c r="H76" s="360"/>
      <c r="I76" s="360"/>
      <c r="J76" s="360"/>
      <c r="K76" s="360"/>
      <c r="L76" s="360"/>
      <c r="M76" s="360"/>
      <c r="N76" s="360"/>
      <c r="O76" s="360"/>
      <c r="P76" s="360"/>
      <c r="Q76" s="360"/>
      <c r="R76" s="360"/>
      <c r="S76" s="360"/>
      <c r="T76" s="360"/>
      <c r="U76" s="360"/>
      <c r="V76" s="360"/>
      <c r="W76" s="360"/>
      <c r="X76" s="360"/>
      <c r="Y76" s="360"/>
      <c r="Z76" s="360"/>
      <c r="AA76" s="360"/>
      <c r="AB76" s="360"/>
      <c r="AC76" s="360"/>
      <c r="AD76" s="360"/>
      <c r="AE76" s="360"/>
    </row>
    <row r="77" spans="1:31" ht="148.5" customHeight="1" x14ac:dyDescent="0.2">
      <c r="A77" s="361"/>
      <c r="B77" s="360"/>
      <c r="C77" s="360"/>
      <c r="D77" s="360"/>
      <c r="E77" s="360"/>
      <c r="F77" s="360"/>
      <c r="G77" s="360"/>
      <c r="H77" s="360"/>
      <c r="I77" s="360"/>
      <c r="J77" s="360"/>
      <c r="K77" s="360"/>
      <c r="L77" s="360"/>
      <c r="M77" s="360"/>
      <c r="N77" s="360"/>
      <c r="O77" s="360"/>
      <c r="P77" s="360"/>
      <c r="Q77" s="360"/>
      <c r="R77" s="360"/>
      <c r="S77" s="360"/>
      <c r="T77" s="360"/>
      <c r="U77" s="360"/>
      <c r="V77" s="360"/>
      <c r="W77" s="360"/>
      <c r="X77" s="360"/>
      <c r="Y77" s="360"/>
      <c r="Z77" s="360"/>
      <c r="AA77" s="360"/>
      <c r="AB77" s="360"/>
      <c r="AC77" s="360"/>
      <c r="AD77" s="360"/>
      <c r="AE77" s="360"/>
    </row>
    <row r="78" spans="1:31" ht="90" customHeight="1" x14ac:dyDescent="0.2">
      <c r="A78" s="361"/>
      <c r="B78" s="360"/>
      <c r="C78" s="360"/>
      <c r="D78" s="360"/>
      <c r="E78" s="360"/>
      <c r="F78" s="360"/>
      <c r="G78" s="360"/>
      <c r="H78" s="360"/>
      <c r="I78" s="360"/>
      <c r="J78" s="360"/>
      <c r="K78" s="360"/>
      <c r="L78" s="360"/>
      <c r="M78" s="360"/>
      <c r="N78" s="360"/>
      <c r="O78" s="360"/>
      <c r="P78" s="360"/>
      <c r="Q78" s="360"/>
      <c r="R78" s="360"/>
      <c r="S78" s="360"/>
      <c r="T78" s="360"/>
      <c r="U78" s="360"/>
      <c r="V78" s="360"/>
      <c r="W78" s="360"/>
      <c r="X78" s="360"/>
      <c r="Y78" s="360"/>
      <c r="Z78" s="360"/>
      <c r="AA78" s="360"/>
      <c r="AB78" s="360"/>
      <c r="AC78" s="360"/>
      <c r="AD78" s="360"/>
      <c r="AE78" s="360"/>
    </row>
    <row r="79" spans="1:31" ht="156" customHeight="1" x14ac:dyDescent="0.2">
      <c r="A79" s="361"/>
      <c r="B79" s="360"/>
      <c r="C79" s="360"/>
      <c r="D79" s="360"/>
      <c r="E79" s="360"/>
      <c r="F79" s="360"/>
      <c r="G79" s="360"/>
      <c r="H79" s="360"/>
      <c r="I79" s="360"/>
      <c r="J79" s="360"/>
      <c r="K79" s="360"/>
      <c r="L79" s="360"/>
      <c r="M79" s="360"/>
      <c r="N79" s="360"/>
      <c r="O79" s="360"/>
      <c r="P79" s="360"/>
      <c r="Q79" s="360"/>
      <c r="R79" s="360"/>
      <c r="S79" s="360"/>
      <c r="T79" s="360"/>
      <c r="U79" s="360"/>
      <c r="V79" s="360"/>
      <c r="W79" s="360"/>
      <c r="X79" s="360"/>
      <c r="Y79" s="360"/>
      <c r="Z79" s="360"/>
      <c r="AA79" s="360"/>
      <c r="AB79" s="360"/>
      <c r="AC79" s="360"/>
      <c r="AD79" s="360"/>
      <c r="AE79" s="360"/>
    </row>
    <row r="80" spans="1:31" ht="258" customHeight="1" x14ac:dyDescent="0.2">
      <c r="A80" s="361"/>
      <c r="B80" s="360"/>
      <c r="C80" s="360"/>
      <c r="D80" s="360"/>
      <c r="E80" s="360"/>
      <c r="F80" s="360"/>
      <c r="G80" s="360"/>
      <c r="H80" s="360"/>
      <c r="I80" s="360"/>
      <c r="J80" s="360"/>
      <c r="K80" s="360"/>
      <c r="L80" s="360"/>
      <c r="M80" s="360"/>
      <c r="N80" s="360"/>
      <c r="O80" s="360"/>
      <c r="P80" s="360"/>
      <c r="Q80" s="360"/>
      <c r="R80" s="360"/>
      <c r="S80" s="360"/>
      <c r="T80" s="360"/>
      <c r="U80" s="360"/>
      <c r="V80" s="360"/>
      <c r="W80" s="360"/>
      <c r="X80" s="360"/>
      <c r="Y80" s="360"/>
      <c r="Z80" s="360"/>
      <c r="AA80" s="360"/>
      <c r="AB80" s="360"/>
      <c r="AC80" s="360"/>
      <c r="AD80" s="360"/>
      <c r="AE80" s="360"/>
    </row>
    <row r="81" spans="1:21" ht="18.75" x14ac:dyDescent="0.2">
      <c r="S81" s="114"/>
      <c r="T81" s="115"/>
      <c r="U81" s="114"/>
    </row>
    <row r="82" spans="1:21" ht="18.75" x14ac:dyDescent="0.2">
      <c r="S82" s="114"/>
      <c r="T82" s="115"/>
      <c r="U82" s="114"/>
    </row>
    <row r="83" spans="1:21" ht="18.75" x14ac:dyDescent="0.2">
      <c r="A83" s="362"/>
      <c r="S83" s="114"/>
      <c r="T83" s="115"/>
      <c r="U83" s="114"/>
    </row>
    <row r="84" spans="1:21" ht="18.75" x14ac:dyDescent="0.2">
      <c r="A84" s="362"/>
      <c r="S84" s="114"/>
      <c r="T84" s="115"/>
      <c r="U84" s="114"/>
    </row>
    <row r="85" spans="1:21" ht="18.75" x14ac:dyDescent="0.2">
      <c r="A85" s="362"/>
      <c r="S85" s="114"/>
      <c r="T85" s="115"/>
      <c r="U85" s="114"/>
    </row>
    <row r="86" spans="1:21" ht="18.75" x14ac:dyDescent="0.25">
      <c r="A86" s="117"/>
      <c r="S86" s="114"/>
      <c r="T86" s="115"/>
      <c r="U86" s="114"/>
    </row>
    <row r="87" spans="1:21" ht="18.75" x14ac:dyDescent="0.25">
      <c r="A87" s="117"/>
      <c r="S87" s="114"/>
      <c r="T87" s="115"/>
      <c r="U87" s="114"/>
    </row>
    <row r="88" spans="1:21" ht="18.75" x14ac:dyDescent="0.25">
      <c r="A88" s="116"/>
      <c r="S88" s="114"/>
      <c r="T88" s="115"/>
      <c r="U88" s="114"/>
    </row>
    <row r="89" spans="1:21" ht="18.75" x14ac:dyDescent="0.2">
      <c r="A89" s="362" t="s">
        <v>64</v>
      </c>
      <c r="B89" s="364"/>
      <c r="S89" s="114"/>
      <c r="T89" s="115"/>
      <c r="U89" s="114"/>
    </row>
    <row r="90" spans="1:21" ht="18.75" x14ac:dyDescent="0.2">
      <c r="A90" s="363"/>
      <c r="B90" s="364"/>
      <c r="S90" s="114"/>
      <c r="T90" s="115"/>
      <c r="U90" s="114"/>
    </row>
    <row r="91" spans="1:21" ht="18.75" x14ac:dyDescent="0.2">
      <c r="A91" s="363"/>
      <c r="B91" s="364"/>
      <c r="S91" s="114"/>
      <c r="T91" s="115"/>
      <c r="U91" s="114"/>
    </row>
    <row r="92" spans="1:21" ht="18.75" x14ac:dyDescent="0.25">
      <c r="A92" s="117"/>
      <c r="B92" s="118"/>
      <c r="S92" s="114"/>
      <c r="T92" s="115"/>
      <c r="U92" s="114"/>
    </row>
    <row r="93" spans="1:21" ht="12.75" customHeight="1" x14ac:dyDescent="0.25">
      <c r="A93" s="119"/>
    </row>
    <row r="94" spans="1:21" ht="12.75" customHeight="1" x14ac:dyDescent="0.2">
      <c r="A94" s="353" t="s">
        <v>65</v>
      </c>
    </row>
    <row r="95" spans="1:21" ht="12.75" customHeight="1" x14ac:dyDescent="0.2">
      <c r="A95" s="354"/>
    </row>
    <row r="96" spans="1:21" ht="12.75" customHeight="1" x14ac:dyDescent="0.2">
      <c r="A96" s="354"/>
    </row>
    <row r="97" spans="1:1" ht="249.75" customHeight="1" x14ac:dyDescent="0.2">
      <c r="A97" s="120"/>
    </row>
    <row r="98" spans="1:1" x14ac:dyDescent="0.2">
      <c r="A98" s="121"/>
    </row>
    <row r="99" spans="1:1" x14ac:dyDescent="0.2">
      <c r="A99" s="121"/>
    </row>
    <row r="100" spans="1:1" x14ac:dyDescent="0.2">
      <c r="A100" s="121"/>
    </row>
    <row r="101" spans="1:1" x14ac:dyDescent="0.2">
      <c r="A101" s="121"/>
    </row>
    <row r="102" spans="1:1" x14ac:dyDescent="0.2">
      <c r="A102" s="121"/>
    </row>
    <row r="103" spans="1:1" x14ac:dyDescent="0.2">
      <c r="A103" s="121"/>
    </row>
    <row r="104" spans="1:1" x14ac:dyDescent="0.2">
      <c r="A104" s="121"/>
    </row>
    <row r="139" spans="6:14" x14ac:dyDescent="0.2">
      <c r="J139" s="3" t="s">
        <v>66</v>
      </c>
      <c r="K139" s="3" t="s">
        <v>67</v>
      </c>
    </row>
    <row r="140" spans="6:14" s="122" customFormat="1" x14ac:dyDescent="0.2">
      <c r="F140" s="122">
        <v>0</v>
      </c>
      <c r="G140" s="122">
        <v>0</v>
      </c>
      <c r="H140" s="122">
        <v>0</v>
      </c>
      <c r="I140" s="122">
        <v>0</v>
      </c>
      <c r="J140" s="122">
        <v>0</v>
      </c>
      <c r="K140" s="122">
        <v>0</v>
      </c>
      <c r="L140" s="122">
        <v>0</v>
      </c>
      <c r="M140" s="122">
        <v>0</v>
      </c>
      <c r="N140" s="122" t="str">
        <f>+CONCATENATE(G140,"VEHICULO",M140)</f>
        <v>0VEHICULO0</v>
      </c>
    </row>
    <row r="141" spans="6:14" s="122" customFormat="1" x14ac:dyDescent="0.2">
      <c r="F141" s="122" t="s">
        <v>68</v>
      </c>
      <c r="G141" s="122" t="s">
        <v>69</v>
      </c>
      <c r="H141" s="122" t="s">
        <v>14</v>
      </c>
      <c r="I141" s="123">
        <v>582964</v>
      </c>
      <c r="J141" s="123" t="s">
        <v>70</v>
      </c>
      <c r="K141" s="124">
        <v>4</v>
      </c>
      <c r="L141" s="122" t="s">
        <v>71</v>
      </c>
      <c r="M141" s="122" t="s">
        <v>72</v>
      </c>
      <c r="N141" s="122" t="str">
        <f t="shared" ref="N141:N187" si="7">+CONCATENATE(G141,F141)</f>
        <v>1.40m³-15H-4OP</v>
      </c>
    </row>
    <row r="142" spans="6:14" s="122" customFormat="1" x14ac:dyDescent="0.2">
      <c r="F142" s="122" t="s">
        <v>73</v>
      </c>
      <c r="G142" s="122" t="s">
        <v>74</v>
      </c>
      <c r="H142" s="122" t="s">
        <v>21</v>
      </c>
      <c r="I142" s="123">
        <v>514916</v>
      </c>
      <c r="J142" s="123" t="s">
        <v>70</v>
      </c>
      <c r="K142" s="124">
        <v>3</v>
      </c>
      <c r="L142" s="122" t="s">
        <v>75</v>
      </c>
      <c r="M142" s="122" t="s">
        <v>72</v>
      </c>
      <c r="N142" s="122" t="str">
        <f t="shared" si="7"/>
        <v>2.40m³-15H-3OP</v>
      </c>
    </row>
    <row r="143" spans="6:14" s="122" customFormat="1" x14ac:dyDescent="0.2">
      <c r="F143" s="122" t="s">
        <v>76</v>
      </c>
      <c r="G143" s="122" t="s">
        <v>77</v>
      </c>
      <c r="H143" s="122" t="s">
        <v>78</v>
      </c>
      <c r="I143" s="123">
        <v>448638</v>
      </c>
      <c r="J143" s="123" t="s">
        <v>70</v>
      </c>
      <c r="K143" s="124">
        <v>2</v>
      </c>
      <c r="L143" s="122" t="s">
        <v>79</v>
      </c>
      <c r="M143" s="122" t="s">
        <v>72</v>
      </c>
      <c r="N143" s="122" t="str">
        <f t="shared" si="7"/>
        <v>3.40m³-15H-2OP</v>
      </c>
    </row>
    <row r="144" spans="6:14" s="122" customFormat="1" x14ac:dyDescent="0.2">
      <c r="F144" s="122" t="s">
        <v>80</v>
      </c>
      <c r="G144" s="122" t="s">
        <v>81</v>
      </c>
      <c r="H144" s="122" t="s">
        <v>82</v>
      </c>
      <c r="I144" s="123">
        <v>381163</v>
      </c>
      <c r="J144" s="123" t="s">
        <v>70</v>
      </c>
      <c r="K144" s="124">
        <v>1</v>
      </c>
      <c r="L144" s="122" t="s">
        <v>83</v>
      </c>
      <c r="M144" s="122" t="s">
        <v>72</v>
      </c>
      <c r="N144" s="122" t="str">
        <f t="shared" si="7"/>
        <v>4.40m³-15H-1OP</v>
      </c>
    </row>
    <row r="145" spans="6:14" s="122" customFormat="1" x14ac:dyDescent="0.2">
      <c r="F145" s="122" t="s">
        <v>84</v>
      </c>
      <c r="G145" s="122" t="s">
        <v>85</v>
      </c>
      <c r="H145" s="122" t="s">
        <v>86</v>
      </c>
      <c r="I145" s="123">
        <v>321680</v>
      </c>
      <c r="J145" s="123" t="s">
        <v>70</v>
      </c>
      <c r="K145" s="124">
        <v>0</v>
      </c>
      <c r="L145" s="122" t="s">
        <v>87</v>
      </c>
      <c r="M145" s="122" t="s">
        <v>72</v>
      </c>
      <c r="N145" s="122" t="str">
        <f t="shared" si="7"/>
        <v>5.40m³-15H-0OP</v>
      </c>
    </row>
    <row r="146" spans="6:14" s="122" customFormat="1" x14ac:dyDescent="0.2">
      <c r="F146" s="122" t="s">
        <v>88</v>
      </c>
      <c r="G146" s="122" t="s">
        <v>89</v>
      </c>
      <c r="H146" s="122" t="s">
        <v>90</v>
      </c>
      <c r="I146" s="123">
        <v>509192</v>
      </c>
      <c r="J146" s="123" t="s">
        <v>91</v>
      </c>
      <c r="K146" s="124">
        <v>4</v>
      </c>
      <c r="L146" s="122" t="s">
        <v>92</v>
      </c>
      <c r="M146" s="122" t="s">
        <v>72</v>
      </c>
      <c r="N146" s="122" t="str">
        <f t="shared" si="7"/>
        <v>6.40m³-9H-4OP</v>
      </c>
    </row>
    <row r="147" spans="6:14" s="122" customFormat="1" x14ac:dyDescent="0.2">
      <c r="F147" s="122" t="s">
        <v>93</v>
      </c>
      <c r="G147" s="122" t="s">
        <v>94</v>
      </c>
      <c r="H147" s="122" t="s">
        <v>95</v>
      </c>
      <c r="I147" s="123">
        <v>450204</v>
      </c>
      <c r="J147" s="123" t="s">
        <v>91</v>
      </c>
      <c r="K147" s="124">
        <v>3</v>
      </c>
      <c r="L147" s="122" t="s">
        <v>96</v>
      </c>
      <c r="M147" s="122" t="s">
        <v>72</v>
      </c>
      <c r="N147" s="122" t="str">
        <f t="shared" si="7"/>
        <v>7.40m³-9H-3OP</v>
      </c>
    </row>
    <row r="148" spans="6:14" s="122" customFormat="1" x14ac:dyDescent="0.2">
      <c r="F148" s="122" t="s">
        <v>97</v>
      </c>
      <c r="G148" s="122" t="s">
        <v>98</v>
      </c>
      <c r="H148" s="122" t="s">
        <v>99</v>
      </c>
      <c r="I148" s="123">
        <v>392186</v>
      </c>
      <c r="J148" s="123" t="s">
        <v>91</v>
      </c>
      <c r="K148" s="124">
        <v>2</v>
      </c>
      <c r="L148" s="122" t="s">
        <v>100</v>
      </c>
      <c r="M148" s="122" t="s">
        <v>72</v>
      </c>
      <c r="N148" s="122" t="str">
        <f t="shared" si="7"/>
        <v>8.40m³-9H-2OP</v>
      </c>
    </row>
    <row r="149" spans="6:14" s="122" customFormat="1" x14ac:dyDescent="0.2">
      <c r="F149" s="122" t="s">
        <v>101</v>
      </c>
      <c r="G149" s="122" t="s">
        <v>102</v>
      </c>
      <c r="H149" s="122" t="s">
        <v>103</v>
      </c>
      <c r="I149" s="123">
        <v>329397</v>
      </c>
      <c r="J149" s="123" t="s">
        <v>91</v>
      </c>
      <c r="K149" s="124">
        <v>1</v>
      </c>
      <c r="L149" s="122" t="s">
        <v>104</v>
      </c>
      <c r="M149" s="122" t="s">
        <v>72</v>
      </c>
      <c r="N149" s="122" t="str">
        <f t="shared" si="7"/>
        <v>9.40m³-9H-1OP</v>
      </c>
    </row>
    <row r="150" spans="6:14" s="122" customFormat="1" x14ac:dyDescent="0.2">
      <c r="F150" s="122" t="s">
        <v>105</v>
      </c>
      <c r="G150" s="122" t="s">
        <v>106</v>
      </c>
      <c r="H150" s="122" t="s">
        <v>107</v>
      </c>
      <c r="I150" s="123">
        <v>280919</v>
      </c>
      <c r="J150" s="123" t="s">
        <v>91</v>
      </c>
      <c r="K150" s="124">
        <v>0</v>
      </c>
      <c r="L150" s="122" t="s">
        <v>108</v>
      </c>
      <c r="M150" s="122" t="s">
        <v>72</v>
      </c>
      <c r="N150" s="122" t="str">
        <f t="shared" si="7"/>
        <v>10.40m³-9H-0OP</v>
      </c>
    </row>
    <row r="151" spans="6:14" s="122" customFormat="1" x14ac:dyDescent="0.2">
      <c r="F151" s="122" t="s">
        <v>109</v>
      </c>
      <c r="G151" s="122" t="s">
        <v>110</v>
      </c>
      <c r="H151" s="122" t="s">
        <v>111</v>
      </c>
      <c r="I151" s="123">
        <v>420585</v>
      </c>
      <c r="J151" s="123" t="s">
        <v>112</v>
      </c>
      <c r="K151" s="124">
        <v>4</v>
      </c>
      <c r="L151" s="122" t="s">
        <v>113</v>
      </c>
      <c r="M151" s="122" t="s">
        <v>72</v>
      </c>
      <c r="N151" s="122" t="str">
        <f t="shared" si="7"/>
        <v>11.40m³-4H-4OP</v>
      </c>
    </row>
    <row r="152" spans="6:14" s="122" customFormat="1" x14ac:dyDescent="0.2">
      <c r="F152" s="122" t="s">
        <v>114</v>
      </c>
      <c r="G152" s="122" t="s">
        <v>115</v>
      </c>
      <c r="H152" s="122" t="s">
        <v>116</v>
      </c>
      <c r="I152" s="123">
        <v>369327</v>
      </c>
      <c r="J152" s="123" t="s">
        <v>112</v>
      </c>
      <c r="K152" s="124">
        <v>3</v>
      </c>
      <c r="L152" s="122" t="s">
        <v>117</v>
      </c>
      <c r="M152" s="122" t="s">
        <v>72</v>
      </c>
      <c r="N152" s="122" t="str">
        <f t="shared" si="7"/>
        <v>12.40m³-4H-3OP</v>
      </c>
    </row>
    <row r="153" spans="6:14" s="122" customFormat="1" x14ac:dyDescent="0.2">
      <c r="F153" s="122" t="s">
        <v>118</v>
      </c>
      <c r="G153" s="122" t="s">
        <v>119</v>
      </c>
      <c r="H153" s="122" t="s">
        <v>120</v>
      </c>
      <c r="I153" s="123">
        <v>323463</v>
      </c>
      <c r="J153" s="123" t="s">
        <v>112</v>
      </c>
      <c r="K153" s="124">
        <v>2</v>
      </c>
      <c r="L153" s="122" t="s">
        <v>121</v>
      </c>
      <c r="M153" s="122" t="s">
        <v>72</v>
      </c>
      <c r="N153" s="122" t="str">
        <f t="shared" si="7"/>
        <v>13.40m³-4H-2OP</v>
      </c>
    </row>
    <row r="154" spans="6:14" s="122" customFormat="1" x14ac:dyDescent="0.2">
      <c r="F154" s="122" t="s">
        <v>122</v>
      </c>
      <c r="G154" s="122" t="s">
        <v>123</v>
      </c>
      <c r="H154" s="122" t="s">
        <v>124</v>
      </c>
      <c r="I154" s="123">
        <v>270330</v>
      </c>
      <c r="J154" s="123" t="s">
        <v>112</v>
      </c>
      <c r="K154" s="124">
        <v>1</v>
      </c>
      <c r="L154" s="122" t="s">
        <v>125</v>
      </c>
      <c r="M154" s="122" t="s">
        <v>72</v>
      </c>
      <c r="N154" s="122" t="str">
        <f t="shared" si="7"/>
        <v>14.40m³-4H-1OP</v>
      </c>
    </row>
    <row r="155" spans="6:14" s="122" customFormat="1" x14ac:dyDescent="0.2">
      <c r="F155" s="122" t="s">
        <v>126</v>
      </c>
      <c r="G155" s="122" t="s">
        <v>127</v>
      </c>
      <c r="H155" s="122" t="s">
        <v>128</v>
      </c>
      <c r="I155" s="123">
        <v>221709</v>
      </c>
      <c r="J155" s="123" t="s">
        <v>112</v>
      </c>
      <c r="K155" s="124">
        <v>0</v>
      </c>
      <c r="L155" s="122" t="s">
        <v>129</v>
      </c>
      <c r="M155" s="122" t="s">
        <v>72</v>
      </c>
      <c r="N155" s="122" t="str">
        <f t="shared" si="7"/>
        <v>15.40m³-4H-0OP</v>
      </c>
    </row>
    <row r="156" spans="6:14" s="122" customFormat="1" x14ac:dyDescent="0.2">
      <c r="F156" s="122" t="s">
        <v>130</v>
      </c>
      <c r="G156" s="122" t="s">
        <v>131</v>
      </c>
      <c r="H156" s="122" t="s">
        <v>19</v>
      </c>
      <c r="I156" s="123">
        <v>501739</v>
      </c>
      <c r="J156" s="123" t="s">
        <v>70</v>
      </c>
      <c r="K156" s="124">
        <v>4</v>
      </c>
      <c r="L156" s="122" t="s">
        <v>132</v>
      </c>
      <c r="M156" s="122" t="s">
        <v>72</v>
      </c>
      <c r="N156" s="122" t="str">
        <f t="shared" si="7"/>
        <v>16.25m³-15H-4OP</v>
      </c>
    </row>
    <row r="157" spans="6:14" s="122" customFormat="1" x14ac:dyDescent="0.2">
      <c r="F157" s="122" t="s">
        <v>133</v>
      </c>
      <c r="G157" s="122" t="s">
        <v>134</v>
      </c>
      <c r="H157" s="122" t="s">
        <v>17</v>
      </c>
      <c r="I157" s="123">
        <v>443323</v>
      </c>
      <c r="J157" s="123" t="s">
        <v>70</v>
      </c>
      <c r="K157" s="124">
        <v>3</v>
      </c>
      <c r="L157" s="122" t="s">
        <v>135</v>
      </c>
      <c r="M157" s="122" t="s">
        <v>72</v>
      </c>
      <c r="N157" s="122" t="str">
        <f t="shared" si="7"/>
        <v>17.25m³-15H-3OP</v>
      </c>
    </row>
    <row r="158" spans="6:14" s="122" customFormat="1" x14ac:dyDescent="0.2">
      <c r="F158" s="122" t="s">
        <v>136</v>
      </c>
      <c r="G158" s="122" t="s">
        <v>137</v>
      </c>
      <c r="H158" s="122" t="s">
        <v>138</v>
      </c>
      <c r="I158" s="123">
        <v>388652</v>
      </c>
      <c r="J158" s="123" t="s">
        <v>70</v>
      </c>
      <c r="K158" s="124">
        <v>2</v>
      </c>
      <c r="L158" s="122" t="s">
        <v>139</v>
      </c>
      <c r="M158" s="122" t="s">
        <v>72</v>
      </c>
      <c r="N158" s="122" t="str">
        <f t="shared" si="7"/>
        <v>18.25m³-15H-2OP</v>
      </c>
    </row>
    <row r="159" spans="6:14" s="122" customFormat="1" x14ac:dyDescent="0.2">
      <c r="F159" s="122" t="s">
        <v>140</v>
      </c>
      <c r="G159" s="122" t="s">
        <v>141</v>
      </c>
      <c r="H159" s="122" t="s">
        <v>142</v>
      </c>
      <c r="I159" s="123">
        <v>323189</v>
      </c>
      <c r="J159" s="123" t="s">
        <v>70</v>
      </c>
      <c r="K159" s="124">
        <v>1</v>
      </c>
      <c r="L159" s="122" t="s">
        <v>143</v>
      </c>
      <c r="M159" s="122" t="s">
        <v>72</v>
      </c>
      <c r="N159" s="122" t="str">
        <f t="shared" si="7"/>
        <v>19.25m³-15H-1OP</v>
      </c>
    </row>
    <row r="160" spans="6:14" s="122" customFormat="1" x14ac:dyDescent="0.2">
      <c r="F160" s="122" t="s">
        <v>144</v>
      </c>
      <c r="G160" s="122" t="s">
        <v>145</v>
      </c>
      <c r="H160" s="122" t="s">
        <v>146</v>
      </c>
      <c r="I160" s="123">
        <v>256051</v>
      </c>
      <c r="J160" s="123" t="s">
        <v>70</v>
      </c>
      <c r="K160" s="124">
        <v>0</v>
      </c>
      <c r="L160" s="122" t="s">
        <v>147</v>
      </c>
      <c r="M160" s="122" t="s">
        <v>72</v>
      </c>
      <c r="N160" s="122" t="str">
        <f t="shared" si="7"/>
        <v>20.25m³-15H-0OP</v>
      </c>
    </row>
    <row r="161" spans="6:14" s="122" customFormat="1" x14ac:dyDescent="0.2">
      <c r="F161" s="122" t="s">
        <v>148</v>
      </c>
      <c r="G161" s="122" t="s">
        <v>149</v>
      </c>
      <c r="H161" s="122" t="s">
        <v>150</v>
      </c>
      <c r="I161" s="123">
        <v>433978</v>
      </c>
      <c r="J161" s="123" t="s">
        <v>91</v>
      </c>
      <c r="K161" s="124">
        <v>4</v>
      </c>
      <c r="L161" s="122" t="s">
        <v>151</v>
      </c>
      <c r="M161" s="122" t="s">
        <v>72</v>
      </c>
      <c r="N161" s="122" t="str">
        <f t="shared" si="7"/>
        <v>21.25m³-9H-4OP</v>
      </c>
    </row>
    <row r="162" spans="6:14" s="122" customFormat="1" x14ac:dyDescent="0.2">
      <c r="F162" s="122" t="s">
        <v>152</v>
      </c>
      <c r="G162" s="122" t="s">
        <v>153</v>
      </c>
      <c r="H162" s="122" t="s">
        <v>154</v>
      </c>
      <c r="I162" s="123">
        <v>386383</v>
      </c>
      <c r="J162" s="123" t="s">
        <v>91</v>
      </c>
      <c r="K162" s="124">
        <v>3</v>
      </c>
      <c r="L162" s="122" t="s">
        <v>155</v>
      </c>
      <c r="M162" s="122" t="s">
        <v>72</v>
      </c>
      <c r="N162" s="122" t="str">
        <f t="shared" si="7"/>
        <v>22.25m³-9H-3OP</v>
      </c>
    </row>
    <row r="163" spans="6:14" s="122" customFormat="1" x14ac:dyDescent="0.2">
      <c r="F163" s="122" t="s">
        <v>156</v>
      </c>
      <c r="G163" s="122" t="s">
        <v>157</v>
      </c>
      <c r="H163" s="122" t="s">
        <v>158</v>
      </c>
      <c r="I163" s="123">
        <v>345928</v>
      </c>
      <c r="J163" s="123" t="s">
        <v>91</v>
      </c>
      <c r="K163" s="124">
        <v>2</v>
      </c>
      <c r="L163" s="122" t="s">
        <v>159</v>
      </c>
      <c r="M163" s="122" t="s">
        <v>72</v>
      </c>
      <c r="N163" s="122" t="str">
        <f t="shared" si="7"/>
        <v>23.25m³-9H-2OP</v>
      </c>
    </row>
    <row r="164" spans="6:14" s="122" customFormat="1" x14ac:dyDescent="0.2">
      <c r="F164" s="122" t="s">
        <v>160</v>
      </c>
      <c r="G164" s="122" t="s">
        <v>161</v>
      </c>
      <c r="H164" s="122" t="s">
        <v>162</v>
      </c>
      <c r="I164" s="123">
        <v>290841</v>
      </c>
      <c r="J164" s="123" t="s">
        <v>91</v>
      </c>
      <c r="K164" s="124">
        <v>1</v>
      </c>
      <c r="L164" s="122" t="s">
        <v>163</v>
      </c>
      <c r="M164" s="122" t="s">
        <v>72</v>
      </c>
      <c r="N164" s="122" t="str">
        <f t="shared" si="7"/>
        <v>24.25m³-9H-1OP</v>
      </c>
    </row>
    <row r="165" spans="6:14" s="122" customFormat="1" x14ac:dyDescent="0.2">
      <c r="F165" s="122" t="s">
        <v>164</v>
      </c>
      <c r="G165" s="122" t="s">
        <v>165</v>
      </c>
      <c r="H165" s="122" t="s">
        <v>166</v>
      </c>
      <c r="I165" s="123">
        <v>225849</v>
      </c>
      <c r="J165" s="123" t="s">
        <v>91</v>
      </c>
      <c r="K165" s="124">
        <v>0</v>
      </c>
      <c r="L165" s="122" t="s">
        <v>167</v>
      </c>
      <c r="M165" s="122" t="s">
        <v>72</v>
      </c>
      <c r="N165" s="122" t="str">
        <f t="shared" si="7"/>
        <v>25.25m³-9H-0OP</v>
      </c>
    </row>
    <row r="166" spans="6:14" s="122" customFormat="1" x14ac:dyDescent="0.2">
      <c r="F166" s="122" t="s">
        <v>168</v>
      </c>
      <c r="G166" s="122" t="s">
        <v>169</v>
      </c>
      <c r="H166" s="122" t="s">
        <v>170</v>
      </c>
      <c r="I166" s="123">
        <v>374201</v>
      </c>
      <c r="J166" s="123" t="s">
        <v>112</v>
      </c>
      <c r="K166" s="124">
        <v>4</v>
      </c>
      <c r="L166" s="122" t="s">
        <v>171</v>
      </c>
      <c r="M166" s="122" t="s">
        <v>72</v>
      </c>
      <c r="N166" s="122" t="str">
        <f t="shared" si="7"/>
        <v>26.25m³-4H-4OP</v>
      </c>
    </row>
    <row r="167" spans="6:14" s="122" customFormat="1" x14ac:dyDescent="0.2">
      <c r="F167" s="122" t="s">
        <v>172</v>
      </c>
      <c r="G167" s="122" t="s">
        <v>173</v>
      </c>
      <c r="H167" s="122" t="s">
        <v>174</v>
      </c>
      <c r="I167" s="123">
        <v>323876</v>
      </c>
      <c r="J167" s="123" t="s">
        <v>112</v>
      </c>
      <c r="K167" s="124">
        <v>3</v>
      </c>
      <c r="L167" s="122" t="s">
        <v>175</v>
      </c>
      <c r="M167" s="122" t="s">
        <v>72</v>
      </c>
      <c r="N167" s="122" t="str">
        <f t="shared" si="7"/>
        <v>27.25m³-4H-3OP</v>
      </c>
    </row>
    <row r="168" spans="6:14" s="122" customFormat="1" x14ac:dyDescent="0.2">
      <c r="F168" s="122" t="s">
        <v>176</v>
      </c>
      <c r="G168" s="122" t="s">
        <v>177</v>
      </c>
      <c r="H168" s="122" t="s">
        <v>178</v>
      </c>
      <c r="I168" s="123">
        <v>283531</v>
      </c>
      <c r="J168" s="123" t="s">
        <v>112</v>
      </c>
      <c r="K168" s="124">
        <v>2</v>
      </c>
      <c r="L168" s="122" t="s">
        <v>179</v>
      </c>
      <c r="M168" s="122" t="s">
        <v>72</v>
      </c>
      <c r="N168" s="122" t="str">
        <f t="shared" si="7"/>
        <v>28.25m³-4H-2OP</v>
      </c>
    </row>
    <row r="169" spans="6:14" s="122" customFormat="1" x14ac:dyDescent="0.2">
      <c r="F169" s="122" t="s">
        <v>180</v>
      </c>
      <c r="G169" s="122" t="s">
        <v>181</v>
      </c>
      <c r="H169" s="122" t="s">
        <v>182</v>
      </c>
      <c r="I169" s="123">
        <v>236854</v>
      </c>
      <c r="J169" s="123" t="s">
        <v>112</v>
      </c>
      <c r="K169" s="124">
        <v>1</v>
      </c>
      <c r="L169" s="122" t="s">
        <v>183</v>
      </c>
      <c r="M169" s="122" t="s">
        <v>72</v>
      </c>
      <c r="N169" s="122" t="str">
        <f t="shared" si="7"/>
        <v>29.25m³-4H-1OP</v>
      </c>
    </row>
    <row r="170" spans="6:14" s="122" customFormat="1" x14ac:dyDescent="0.2">
      <c r="F170" s="122" t="s">
        <v>184</v>
      </c>
      <c r="G170" s="122" t="s">
        <v>185</v>
      </c>
      <c r="H170" s="122" t="s">
        <v>186</v>
      </c>
      <c r="I170" s="123">
        <v>179940</v>
      </c>
      <c r="J170" s="123" t="s">
        <v>112</v>
      </c>
      <c r="K170" s="124">
        <v>0</v>
      </c>
      <c r="L170" s="122" t="s">
        <v>187</v>
      </c>
      <c r="M170" s="122" t="s">
        <v>72</v>
      </c>
      <c r="N170" s="122" t="str">
        <f t="shared" si="7"/>
        <v>30.25m³-4H-0OP</v>
      </c>
    </row>
    <row r="171" spans="6:14" s="122" customFormat="1" x14ac:dyDescent="0.2">
      <c r="F171" s="122" t="s">
        <v>188</v>
      </c>
      <c r="G171" s="122" t="s">
        <v>189</v>
      </c>
      <c r="H171" s="122" t="s">
        <v>23</v>
      </c>
      <c r="I171" s="123">
        <v>239262</v>
      </c>
      <c r="J171" s="123" t="s">
        <v>70</v>
      </c>
      <c r="K171" s="124">
        <v>0</v>
      </c>
      <c r="L171" s="122" t="s">
        <v>190</v>
      </c>
      <c r="M171" s="122" t="s">
        <v>72</v>
      </c>
      <c r="N171" s="122" t="str">
        <f t="shared" si="7"/>
        <v>31.FURGON-15H</v>
      </c>
    </row>
    <row r="172" spans="6:14" s="122" customFormat="1" x14ac:dyDescent="0.2">
      <c r="F172" s="122" t="s">
        <v>191</v>
      </c>
      <c r="G172" s="122" t="s">
        <v>192</v>
      </c>
      <c r="H172" s="122" t="s">
        <v>193</v>
      </c>
      <c r="I172" s="123">
        <v>214754</v>
      </c>
      <c r="J172" s="123" t="s">
        <v>91</v>
      </c>
      <c r="K172" s="124">
        <v>0</v>
      </c>
      <c r="L172" s="122" t="s">
        <v>194</v>
      </c>
      <c r="M172" s="122" t="s">
        <v>72</v>
      </c>
      <c r="N172" s="122" t="str">
        <f t="shared" si="7"/>
        <v>32.FURGON-9H</v>
      </c>
    </row>
    <row r="173" spans="6:14" s="122" customFormat="1" x14ac:dyDescent="0.2">
      <c r="F173" s="122" t="s">
        <v>195</v>
      </c>
      <c r="G173" s="122" t="s">
        <v>196</v>
      </c>
      <c r="H173" s="122" t="s">
        <v>197</v>
      </c>
      <c r="I173" s="123">
        <v>173120</v>
      </c>
      <c r="J173" s="123" t="s">
        <v>112</v>
      </c>
      <c r="K173" s="124">
        <v>0</v>
      </c>
      <c r="L173" s="122" t="s">
        <v>198</v>
      </c>
      <c r="M173" s="122" t="s">
        <v>72</v>
      </c>
      <c r="N173" s="122" t="str">
        <f t="shared" si="7"/>
        <v>33.FURGON-4H</v>
      </c>
    </row>
    <row r="174" spans="6:14" s="122" customFormat="1" x14ac:dyDescent="0.2">
      <c r="F174" s="122" t="s">
        <v>199</v>
      </c>
      <c r="G174" s="122" t="s">
        <v>200</v>
      </c>
      <c r="H174" s="122" t="s">
        <v>41</v>
      </c>
      <c r="I174" s="123">
        <v>373234</v>
      </c>
      <c r="J174" s="123" t="s">
        <v>70</v>
      </c>
      <c r="K174" s="124">
        <v>0</v>
      </c>
      <c r="L174" s="122" t="s">
        <v>201</v>
      </c>
      <c r="M174" s="122" t="s">
        <v>72</v>
      </c>
      <c r="N174" s="122" t="str">
        <f t="shared" si="7"/>
        <v>34.4X4-15H</v>
      </c>
    </row>
    <row r="175" spans="6:14" s="122" customFormat="1" x14ac:dyDescent="0.2">
      <c r="F175" s="122" t="s">
        <v>202</v>
      </c>
      <c r="G175" s="122" t="s">
        <v>203</v>
      </c>
      <c r="H175" s="122" t="s">
        <v>204</v>
      </c>
      <c r="I175" s="123">
        <v>242399</v>
      </c>
      <c r="J175" s="123" t="s">
        <v>91</v>
      </c>
      <c r="K175" s="124">
        <v>0</v>
      </c>
      <c r="L175" s="122" t="s">
        <v>205</v>
      </c>
      <c r="M175" s="122" t="s">
        <v>72</v>
      </c>
      <c r="N175" s="122" t="str">
        <f t="shared" si="7"/>
        <v>35.4X4-9H</v>
      </c>
    </row>
    <row r="176" spans="6:14" s="122" customFormat="1" x14ac:dyDescent="0.2">
      <c r="F176" s="122" t="s">
        <v>206</v>
      </c>
      <c r="G176" s="122" t="s">
        <v>207</v>
      </c>
      <c r="H176" s="122" t="s">
        <v>208</v>
      </c>
      <c r="I176" s="123">
        <v>195220</v>
      </c>
      <c r="J176" s="123" t="s">
        <v>112</v>
      </c>
      <c r="K176" s="124">
        <v>0</v>
      </c>
      <c r="L176" s="122" t="s">
        <v>209</v>
      </c>
      <c r="M176" s="122" t="s">
        <v>72</v>
      </c>
      <c r="N176" s="122" t="str">
        <f t="shared" si="7"/>
        <v>36.4X4-4H</v>
      </c>
    </row>
    <row r="177" spans="6:14" s="122" customFormat="1" x14ac:dyDescent="0.2">
      <c r="F177" s="122" t="s">
        <v>210</v>
      </c>
      <c r="G177" s="122" t="s">
        <v>211</v>
      </c>
      <c r="H177" s="122" t="s">
        <v>212</v>
      </c>
      <c r="I177" s="123">
        <v>836001</v>
      </c>
      <c r="J177" s="123" t="s">
        <v>70</v>
      </c>
      <c r="K177" s="124">
        <v>0</v>
      </c>
      <c r="L177" s="122" t="s">
        <v>213</v>
      </c>
      <c r="M177" s="122" t="s">
        <v>72</v>
      </c>
      <c r="N177" s="122" t="str">
        <f t="shared" si="7"/>
        <v>37.MONTACARGA-15H</v>
      </c>
    </row>
    <row r="178" spans="6:14" s="122" customFormat="1" x14ac:dyDescent="0.2">
      <c r="F178" s="122" t="s">
        <v>214</v>
      </c>
      <c r="G178" s="122" t="s">
        <v>215</v>
      </c>
      <c r="H178" s="122" t="s">
        <v>216</v>
      </c>
      <c r="I178" s="123">
        <v>144356</v>
      </c>
      <c r="J178" s="123" t="s">
        <v>217</v>
      </c>
      <c r="K178" s="124">
        <v>0</v>
      </c>
      <c r="L178" s="122" t="s">
        <v>218</v>
      </c>
      <c r="M178" s="122" t="s">
        <v>72</v>
      </c>
      <c r="N178" s="122" t="str">
        <f t="shared" si="7"/>
        <v>38.MONTACARGA-1H</v>
      </c>
    </row>
    <row r="179" spans="6:14" s="122" customFormat="1" x14ac:dyDescent="0.2">
      <c r="F179" s="122" t="s">
        <v>219</v>
      </c>
      <c r="G179" s="122" t="s">
        <v>220</v>
      </c>
      <c r="H179" s="122" t="s">
        <v>221</v>
      </c>
      <c r="I179" s="123">
        <v>828620</v>
      </c>
      <c r="J179" s="123" t="s">
        <v>70</v>
      </c>
      <c r="K179" s="124">
        <v>0</v>
      </c>
      <c r="L179" s="122" t="s">
        <v>222</v>
      </c>
      <c r="M179" s="122" t="s">
        <v>72</v>
      </c>
      <c r="N179" s="122" t="str">
        <f t="shared" si="7"/>
        <v>39.GRUA-15H-</v>
      </c>
    </row>
    <row r="180" spans="6:14" s="122" customFormat="1" x14ac:dyDescent="0.2">
      <c r="F180" s="122" t="s">
        <v>223</v>
      </c>
      <c r="G180" s="122" t="s">
        <v>224</v>
      </c>
      <c r="H180" s="122" t="s">
        <v>225</v>
      </c>
      <c r="I180" s="123">
        <v>148058</v>
      </c>
      <c r="J180" s="123" t="s">
        <v>217</v>
      </c>
      <c r="K180" s="124">
        <v>0</v>
      </c>
      <c r="L180" s="122" t="s">
        <v>226</v>
      </c>
      <c r="M180" s="122" t="s">
        <v>72</v>
      </c>
      <c r="N180" s="122" t="str">
        <f t="shared" si="7"/>
        <v>40.GRUA-1H</v>
      </c>
    </row>
    <row r="181" spans="6:14" s="122" customFormat="1" x14ac:dyDescent="0.2">
      <c r="F181" s="122" t="s">
        <v>227</v>
      </c>
      <c r="G181" s="122" t="s">
        <v>228</v>
      </c>
      <c r="H181" s="122" t="s">
        <v>36</v>
      </c>
      <c r="I181" s="123">
        <v>53577</v>
      </c>
      <c r="J181" s="123" t="s">
        <v>217</v>
      </c>
      <c r="K181" s="124">
        <v>0</v>
      </c>
      <c r="L181" s="122" t="s">
        <v>229</v>
      </c>
      <c r="M181" s="122" t="s">
        <v>72</v>
      </c>
      <c r="N181" s="122" t="str">
        <f t="shared" si="7"/>
        <v>41.OPERARIO-8-H</v>
      </c>
    </row>
    <row r="182" spans="6:14" s="122" customFormat="1" x14ac:dyDescent="0.2">
      <c r="F182" s="122" t="s">
        <v>230</v>
      </c>
      <c r="G182" s="122" t="s">
        <v>231</v>
      </c>
      <c r="H182" s="122" t="s">
        <v>232</v>
      </c>
      <c r="I182" s="123">
        <v>41562</v>
      </c>
      <c r="J182" s="123" t="s">
        <v>217</v>
      </c>
      <c r="K182" s="124">
        <v>0</v>
      </c>
      <c r="L182" s="122" t="s">
        <v>233</v>
      </c>
      <c r="M182" s="122" t="s">
        <v>72</v>
      </c>
      <c r="N182" s="122" t="str">
        <f t="shared" si="7"/>
        <v>42.OPERARIO-6-H</v>
      </c>
    </row>
    <row r="183" spans="6:14" s="122" customFormat="1" x14ac:dyDescent="0.2">
      <c r="F183" s="122" t="s">
        <v>234</v>
      </c>
      <c r="G183" s="122" t="s">
        <v>235</v>
      </c>
      <c r="H183" s="122" t="s">
        <v>236</v>
      </c>
      <c r="I183" s="123">
        <v>628232</v>
      </c>
      <c r="N183" s="122" t="str">
        <f t="shared" si="7"/>
        <v>43.BOGOTA-REGION-40m³-</v>
      </c>
    </row>
    <row r="184" spans="6:14" s="122" customFormat="1" x14ac:dyDescent="0.2">
      <c r="F184" s="122" t="s">
        <v>237</v>
      </c>
      <c r="G184" s="122" t="s">
        <v>238</v>
      </c>
      <c r="H184" s="122" t="s">
        <v>239</v>
      </c>
      <c r="I184" s="123">
        <v>562619</v>
      </c>
      <c r="N184" s="122" t="str">
        <f t="shared" si="7"/>
        <v>44.BOGOTA-REGION-25m³-</v>
      </c>
    </row>
    <row r="185" spans="6:14" s="122" customFormat="1" x14ac:dyDescent="0.2">
      <c r="F185" s="122" t="s">
        <v>240</v>
      </c>
      <c r="G185" s="122" t="s">
        <v>241</v>
      </c>
      <c r="H185" s="122" t="s">
        <v>242</v>
      </c>
      <c r="I185" s="123">
        <v>418264</v>
      </c>
      <c r="N185" s="122" t="str">
        <f t="shared" si="7"/>
        <v>45.BOGOTA-REGION-FURGON-</v>
      </c>
    </row>
    <row r="186" spans="6:14" s="122" customFormat="1" x14ac:dyDescent="0.2">
      <c r="F186" s="122" t="s">
        <v>243</v>
      </c>
      <c r="G186" s="122" t="s">
        <v>244</v>
      </c>
      <c r="H186" s="122" t="s">
        <v>245</v>
      </c>
      <c r="I186" s="123">
        <v>288714</v>
      </c>
      <c r="N186" s="122" t="str">
        <f t="shared" si="7"/>
        <v>46.BOGOTA-REGION-4X4</v>
      </c>
    </row>
    <row r="187" spans="6:14" x14ac:dyDescent="0.2">
      <c r="H187" s="122" t="s">
        <v>246</v>
      </c>
      <c r="I187" s="123">
        <f>41562*6</f>
        <v>249372</v>
      </c>
      <c r="J187" s="123" t="s">
        <v>217</v>
      </c>
      <c r="N187" s="3" t="str">
        <f t="shared" si="7"/>
        <v/>
      </c>
    </row>
    <row r="188" spans="6:14" x14ac:dyDescent="0.2">
      <c r="H188" s="122" t="s">
        <v>247</v>
      </c>
      <c r="I188" s="123">
        <f>41562*8</f>
        <v>332496</v>
      </c>
      <c r="J188" s="123" t="s">
        <v>217</v>
      </c>
    </row>
    <row r="189" spans="6:14" x14ac:dyDescent="0.2">
      <c r="H189" s="122" t="s">
        <v>248</v>
      </c>
      <c r="I189" s="123">
        <f>41562*8</f>
        <v>332496</v>
      </c>
      <c r="J189" s="123" t="s">
        <v>217</v>
      </c>
    </row>
    <row r="190" spans="6:14" x14ac:dyDescent="0.2">
      <c r="H190" s="122" t="s">
        <v>249</v>
      </c>
      <c r="I190" s="123">
        <f>53577*10</f>
        <v>535770</v>
      </c>
      <c r="J190" s="123" t="s">
        <v>217</v>
      </c>
    </row>
    <row r="191" spans="6:14" x14ac:dyDescent="0.2">
      <c r="H191" s="122" t="s">
        <v>250</v>
      </c>
      <c r="I191" s="123">
        <f>53577*8</f>
        <v>428616</v>
      </c>
      <c r="J191" s="123" t="s">
        <v>217</v>
      </c>
    </row>
    <row r="192" spans="6:14" x14ac:dyDescent="0.2">
      <c r="H192" s="122" t="s">
        <v>251</v>
      </c>
      <c r="I192" s="123">
        <f>53577*10</f>
        <v>535770</v>
      </c>
      <c r="J192" s="123" t="s">
        <v>217</v>
      </c>
    </row>
  </sheetData>
  <sheetProtection selectLockedCells="1" selectUnlockedCells="1"/>
  <mergeCells count="23">
    <mergeCell ref="R2:Y2"/>
    <mergeCell ref="AA2:AE2"/>
    <mergeCell ref="A53:G53"/>
    <mergeCell ref="K71:L71"/>
    <mergeCell ref="A1:G1"/>
    <mergeCell ref="A2:G2"/>
    <mergeCell ref="I2:P2"/>
    <mergeCell ref="A94:A96"/>
    <mergeCell ref="R13:Y13"/>
    <mergeCell ref="A74:AE80"/>
    <mergeCell ref="A83:A85"/>
    <mergeCell ref="A89:A91"/>
    <mergeCell ref="B89:B91"/>
    <mergeCell ref="A73:AE73"/>
    <mergeCell ref="A14:G14"/>
    <mergeCell ref="I16:P16"/>
    <mergeCell ref="R18:Y18"/>
    <mergeCell ref="A24:G24"/>
    <mergeCell ref="A25:G25"/>
    <mergeCell ref="A33:G33"/>
    <mergeCell ref="A42:G42"/>
    <mergeCell ref="A43:G43"/>
    <mergeCell ref="J47:P66"/>
  </mergeCells>
  <dataValidations count="4">
    <dataValidation type="list" allowBlank="1" showInputMessage="1" showErrorMessage="1" sqref="F40" xr:uid="{B067CDD0-7569-7B4C-AE94-90A2D2AC4084}">
      <formula1>$H$140:$H$185</formula1>
    </dataValidation>
    <dataValidation type="list" allowBlank="1" showInputMessage="1" showErrorMessage="1" sqref="O9:O15 O20:O25 F47:F52 F17:F19 F31:F32 X7:X8 F65" xr:uid="{82221F05-D53E-0B49-BE95-313F30978316}">
      <formula1>$H$140:$H$186</formula1>
    </dataValidation>
    <dataValidation type="list" allowBlank="1" showInputMessage="1" showErrorMessage="1" sqref="F20:F22 F12:F13" xr:uid="{81E395CD-4C7F-6D43-9EB9-31B5B84E5ADC}">
      <formula1>$H$141:$H$186</formula1>
    </dataValidation>
    <dataValidation type="list" allowBlank="1" showInputMessage="1" showErrorMessage="1" sqref="F4:F11 O4:O8 X4:X6 F55:F64 O18:O19 X15:X16 F16 F35:F39 F27:F30 X20:X26" xr:uid="{51C3F176-442B-7F4C-B904-8AB039E4E116}">
      <formula1>$H$140:$H$192</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6694B-CD4E-BC47-A40E-61D96AD543A4}">
  <sheetPr>
    <tabColor rgb="FFFF0000"/>
  </sheetPr>
  <dimension ref="A1:AE192"/>
  <sheetViews>
    <sheetView view="pageBreakPreview" topLeftCell="I56" zoomScaleNormal="59" zoomScaleSheetLayoutView="100" workbookViewId="0">
      <selection activeCell="P71" sqref="P71"/>
    </sheetView>
  </sheetViews>
  <sheetFormatPr baseColWidth="10" defaultColWidth="11.42578125" defaultRowHeight="12.75" x14ac:dyDescent="0.2"/>
  <cols>
    <col min="1" max="1" width="58.42578125" style="3" customWidth="1"/>
    <col min="2" max="2" width="27.42578125" style="3" customWidth="1"/>
    <col min="3" max="3" width="20.85546875" style="3" customWidth="1"/>
    <col min="4" max="5" width="44.4257812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51.85546875" style="3" customWidth="1"/>
    <col min="16" max="16" width="29.28515625" style="3" customWidth="1"/>
    <col min="17" max="17" width="23.85546875" style="3" customWidth="1"/>
    <col min="18" max="18" width="18.140625" style="3" customWidth="1"/>
    <col min="19" max="19" width="36.42578125" style="3" customWidth="1"/>
    <col min="20" max="20" width="20.28515625" style="3" customWidth="1"/>
    <col min="21" max="21" width="19" style="3" customWidth="1"/>
    <col min="22" max="23" width="25.42578125" style="3" customWidth="1"/>
    <col min="24" max="24" width="59.2851562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379" t="s">
        <v>0</v>
      </c>
      <c r="B1" s="379"/>
      <c r="C1" s="379"/>
      <c r="D1" s="379"/>
      <c r="E1" s="379"/>
      <c r="F1" s="379"/>
      <c r="G1" s="379"/>
      <c r="H1" s="2"/>
      <c r="I1" s="2"/>
      <c r="J1" s="2"/>
      <c r="K1" s="2"/>
      <c r="L1" s="2"/>
      <c r="M1" s="2"/>
      <c r="N1" s="2"/>
      <c r="O1" s="2"/>
      <c r="P1" s="2"/>
      <c r="Q1" s="2"/>
      <c r="R1" s="2"/>
      <c r="S1" s="2"/>
      <c r="T1" s="2"/>
      <c r="U1" s="2"/>
      <c r="V1" s="2"/>
      <c r="W1" s="2"/>
      <c r="X1" s="2"/>
      <c r="Y1" s="2"/>
    </row>
    <row r="2" spans="1:31" ht="15.75" x14ac:dyDescent="0.2">
      <c r="A2" s="379" t="s">
        <v>1</v>
      </c>
      <c r="B2" s="379"/>
      <c r="C2" s="379"/>
      <c r="D2" s="379"/>
      <c r="E2" s="379"/>
      <c r="F2" s="379"/>
      <c r="G2" s="379"/>
      <c r="H2" s="2"/>
      <c r="I2" s="355" t="s">
        <v>2</v>
      </c>
      <c r="J2" s="356"/>
      <c r="K2" s="356"/>
      <c r="L2" s="356"/>
      <c r="M2" s="356"/>
      <c r="N2" s="356"/>
      <c r="O2" s="356"/>
      <c r="P2" s="358"/>
      <c r="Q2" s="2"/>
      <c r="R2" s="355" t="s">
        <v>3</v>
      </c>
      <c r="S2" s="356"/>
      <c r="T2" s="356"/>
      <c r="U2" s="356"/>
      <c r="V2" s="356"/>
      <c r="W2" s="356"/>
      <c r="X2" s="356"/>
      <c r="Y2" s="358"/>
      <c r="AA2" s="375"/>
      <c r="AB2" s="375"/>
      <c r="AC2" s="375"/>
      <c r="AD2" s="375"/>
      <c r="AE2" s="375"/>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7" t="s">
        <v>11</v>
      </c>
      <c r="S3" s="7" t="s">
        <v>4</v>
      </c>
      <c r="T3" s="8" t="s">
        <v>5</v>
      </c>
      <c r="U3" s="8" t="s">
        <v>6</v>
      </c>
      <c r="V3" s="8" t="s">
        <v>7</v>
      </c>
      <c r="W3" s="8" t="s">
        <v>8</v>
      </c>
      <c r="X3" s="8" t="s">
        <v>9</v>
      </c>
      <c r="Y3" s="8" t="s">
        <v>10</v>
      </c>
      <c r="AA3" s="4"/>
      <c r="AB3" s="9"/>
      <c r="AC3" s="9"/>
      <c r="AD3" s="9"/>
      <c r="AE3" s="9"/>
    </row>
    <row r="4" spans="1:31" ht="15.75" x14ac:dyDescent="0.25">
      <c r="A4" s="10" t="s">
        <v>12</v>
      </c>
      <c r="B4" s="11" t="str">
        <f t="shared" ref="B4:B11" si="0">+IF(F4=0,0,MID(F4,LEN(F4)-3,1))</f>
        <v>4</v>
      </c>
      <c r="C4" s="12">
        <v>1</v>
      </c>
      <c r="D4" s="12" t="s">
        <v>13</v>
      </c>
      <c r="E4" s="13" t="str">
        <f t="shared" ref="E4:E11" si="1">+IF(F4=0,0,CONCATENATE(MID(F4,FIND("-",F4,1)+1,4),"ORAS"))</f>
        <v>15 HORAS</v>
      </c>
      <c r="F4" s="14" t="s">
        <v>14</v>
      </c>
      <c r="G4" s="239">
        <f>+IF(F4="","",VLOOKUP(F4,$H$140:$I$192,2,FALSE))</f>
        <v>582964</v>
      </c>
      <c r="H4" s="2"/>
      <c r="I4" s="15" t="s">
        <v>15</v>
      </c>
      <c r="J4" s="14" t="s">
        <v>16</v>
      </c>
      <c r="K4" s="16">
        <v>3</v>
      </c>
      <c r="L4" s="17">
        <v>1</v>
      </c>
      <c r="M4" s="18" t="s">
        <v>13</v>
      </c>
      <c r="N4" s="13" t="str">
        <f>+IF(O4=0,0,CONCATENATE(MID(O4,FIND("-",O4,1)+1,4),"ORAS"))</f>
        <v>15 HORAS</v>
      </c>
      <c r="O4" s="14" t="s">
        <v>17</v>
      </c>
      <c r="P4" s="239">
        <f>+IF(O4="","",VLOOKUP(O4,$H$140:$I$192,2,FALSE))</f>
        <v>443323</v>
      </c>
      <c r="Q4" s="2"/>
      <c r="R4" s="15" t="s">
        <v>15</v>
      </c>
      <c r="S4" s="20" t="s">
        <v>18</v>
      </c>
      <c r="T4" s="16" t="str">
        <f>+IF(X4=0,0,MID(X4,LEN(X4)-3,1))</f>
        <v>4</v>
      </c>
      <c r="U4" s="319">
        <v>1</v>
      </c>
      <c r="V4" s="22" t="s">
        <v>13</v>
      </c>
      <c r="W4" s="13" t="str">
        <f>+IF(X4=0,0,CONCATENATE(MID(X4,FIND("-",X4,1)+1,4),"ORAS"))</f>
        <v>15 HORAS</v>
      </c>
      <c r="X4" s="14" t="s">
        <v>19</v>
      </c>
      <c r="Y4" s="239">
        <f>+IF(X4="","",VLOOKUP(X4,$H$140:$I$192,2,FALSE))</f>
        <v>501739</v>
      </c>
      <c r="AA4" s="23"/>
      <c r="AB4" s="24"/>
      <c r="AC4" s="24"/>
      <c r="AD4" s="25"/>
      <c r="AE4" s="26"/>
    </row>
    <row r="5" spans="1:31" ht="15.75" x14ac:dyDescent="0.25">
      <c r="A5" s="14" t="s">
        <v>20</v>
      </c>
      <c r="B5" s="11" t="str">
        <f t="shared" si="0"/>
        <v>4</v>
      </c>
      <c r="C5" s="18">
        <v>1</v>
      </c>
      <c r="D5" s="18" t="s">
        <v>13</v>
      </c>
      <c r="E5" s="13" t="str">
        <f t="shared" si="1"/>
        <v>15 HORAS</v>
      </c>
      <c r="F5" s="14" t="s">
        <v>14</v>
      </c>
      <c r="G5" s="239">
        <f>+IF(F5="","",VLOOKUP(F5,$H$140:I$192,2,FALSE))</f>
        <v>582964</v>
      </c>
      <c r="H5" s="2"/>
      <c r="I5" s="15" t="s">
        <v>15</v>
      </c>
      <c r="J5" s="14" t="s">
        <v>22</v>
      </c>
      <c r="K5" s="16">
        <v>0</v>
      </c>
      <c r="L5" s="17">
        <v>1</v>
      </c>
      <c r="M5" s="18" t="s">
        <v>13</v>
      </c>
      <c r="N5" s="13" t="str">
        <f>+IF(O5=0,0,CONCATENATE(MID(O5,FIND("-",O5,1)+1,4),"ORAS"))</f>
        <v>15 HORAS</v>
      </c>
      <c r="O5" s="14" t="s">
        <v>23</v>
      </c>
      <c r="P5" s="239">
        <f>+IF(O5="","",VLOOKUP(O5,$H$140:$I$192,2,FALSE))</f>
        <v>239262</v>
      </c>
      <c r="Q5" s="2"/>
      <c r="R5" s="15" t="s">
        <v>15</v>
      </c>
      <c r="S5" s="20" t="s">
        <v>24</v>
      </c>
      <c r="T5" s="16" t="str">
        <f>+IF(X5=0,0,MID(X5,LEN(X5)-3,1))</f>
        <v>4</v>
      </c>
      <c r="U5" s="319">
        <v>1</v>
      </c>
      <c r="V5" s="22" t="s">
        <v>13</v>
      </c>
      <c r="W5" s="13" t="str">
        <f>+IF(X5=0,0,CONCATENATE(MID(X5,FIND("-",X5,1)+1,4),"ORAS"))</f>
        <v>15 HORAS</v>
      </c>
      <c r="X5" s="14" t="s">
        <v>19</v>
      </c>
      <c r="Y5" s="239">
        <f>+IF(X5="","",VLOOKUP(X5,$H$140:$I$192,2,FALSE))</f>
        <v>501739</v>
      </c>
      <c r="AA5" s="23"/>
      <c r="AB5" s="24"/>
      <c r="AC5" s="24"/>
      <c r="AD5" s="25"/>
      <c r="AE5" s="26"/>
    </row>
    <row r="6" spans="1:31" ht="15.75" x14ac:dyDescent="0.25">
      <c r="A6" s="14" t="s">
        <v>25</v>
      </c>
      <c r="B6" s="11" t="str">
        <f t="shared" si="0"/>
        <v>3</v>
      </c>
      <c r="C6" s="18">
        <v>1</v>
      </c>
      <c r="D6" s="18" t="s">
        <v>13</v>
      </c>
      <c r="E6" s="13" t="str">
        <f t="shared" si="1"/>
        <v>15 HORAS</v>
      </c>
      <c r="F6" s="14" t="s">
        <v>21</v>
      </c>
      <c r="G6" s="239">
        <f>+IF(F6="","",VLOOKUP(F6,$H$140:I$192,2,FALSE))</f>
        <v>514916</v>
      </c>
      <c r="H6" s="2"/>
      <c r="I6" s="15" t="s">
        <v>15</v>
      </c>
      <c r="J6" s="14" t="s">
        <v>252</v>
      </c>
      <c r="K6" s="16">
        <v>4</v>
      </c>
      <c r="L6" s="17">
        <v>1</v>
      </c>
      <c r="M6" s="18" t="s">
        <v>13</v>
      </c>
      <c r="N6" s="13" t="str">
        <f>+IF(O6=0,0,CONCATENATE(MID(O6,FIND("-",O6,1)+1,4),"ORAS"))</f>
        <v>15 HORAS</v>
      </c>
      <c r="O6" s="14" t="s">
        <v>19</v>
      </c>
      <c r="P6" s="239">
        <f>+IF(O6="","",VLOOKUP(O6,$H$140:$I$192,2,FALSE))</f>
        <v>501739</v>
      </c>
      <c r="Q6" s="2"/>
      <c r="R6" s="15" t="s">
        <v>15</v>
      </c>
      <c r="S6" s="20" t="s">
        <v>26</v>
      </c>
      <c r="T6" s="16" t="str">
        <f>+IF(X6=0,0,MID(X6,LEN(X6)-3,1))</f>
        <v>4</v>
      </c>
      <c r="U6" s="319">
        <v>1</v>
      </c>
      <c r="V6" s="22" t="s">
        <v>13</v>
      </c>
      <c r="W6" s="13" t="str">
        <f>+IF(X6=0,0,CONCATENATE(MID(X6,FIND("-",X6,1)+1,4),"ORAS"))</f>
        <v>15 HORAS</v>
      </c>
      <c r="X6" s="14" t="s">
        <v>19</v>
      </c>
      <c r="Y6" s="239">
        <f>+IF(X6="","",VLOOKUP(X6,$H$140:$I$192,2,FALSE))</f>
        <v>501739</v>
      </c>
      <c r="AA6" s="23"/>
      <c r="AB6" s="24"/>
      <c r="AC6" s="24"/>
      <c r="AD6" s="25"/>
      <c r="AE6" s="26"/>
    </row>
    <row r="7" spans="1:31" ht="15.75" x14ac:dyDescent="0.25">
      <c r="A7" s="14" t="s">
        <v>27</v>
      </c>
      <c r="B7" s="11" t="str">
        <f t="shared" si="0"/>
        <v>3</v>
      </c>
      <c r="C7" s="18">
        <v>1</v>
      </c>
      <c r="D7" s="18" t="s">
        <v>13</v>
      </c>
      <c r="E7" s="13" t="str">
        <f t="shared" si="1"/>
        <v>15 HORAS</v>
      </c>
      <c r="F7" s="14" t="s">
        <v>21</v>
      </c>
      <c r="G7" s="239">
        <f>+IF(F7="","",VLOOKUP(F7,$H$140:I$192,2,FALSE))</f>
        <v>514916</v>
      </c>
      <c r="H7" s="2"/>
      <c r="I7" s="15" t="s">
        <v>15</v>
      </c>
      <c r="J7" s="125" t="s">
        <v>346</v>
      </c>
      <c r="K7" s="16">
        <v>4</v>
      </c>
      <c r="L7" s="17">
        <v>1</v>
      </c>
      <c r="M7" s="18" t="s">
        <v>13</v>
      </c>
      <c r="N7" s="13" t="str">
        <f>+IF(O7=0,0,CONCATENATE(MID(O7,FIND("-",O7,1)+1,4),"ORAS"))</f>
        <v>15 HORAS</v>
      </c>
      <c r="O7" s="14" t="s">
        <v>19</v>
      </c>
      <c r="P7" s="239">
        <f>+IF(O7="","",VLOOKUP(O7,$H$140:$I$192,2,FALSE))</f>
        <v>501739</v>
      </c>
      <c r="Q7" s="2"/>
      <c r="R7" s="27"/>
      <c r="S7" s="320"/>
      <c r="T7" s="16"/>
      <c r="U7" s="321"/>
      <c r="V7" s="12"/>
      <c r="W7" s="13"/>
      <c r="X7" s="14">
        <v>0</v>
      </c>
      <c r="Y7" s="30">
        <f>+IF(X7="","",VLOOKUP(X7,$H$140:$I$186,2,FALSE))</f>
        <v>0</v>
      </c>
      <c r="AA7" s="23"/>
      <c r="AB7" s="23"/>
      <c r="AC7" s="23"/>
      <c r="AD7" s="23"/>
      <c r="AE7" s="23"/>
    </row>
    <row r="8" spans="1:31" ht="15.75" x14ac:dyDescent="0.25">
      <c r="A8" s="14" t="s">
        <v>28</v>
      </c>
      <c r="B8" s="11" t="str">
        <f t="shared" si="0"/>
        <v>3</v>
      </c>
      <c r="C8" s="18">
        <v>1</v>
      </c>
      <c r="D8" s="18" t="s">
        <v>13</v>
      </c>
      <c r="E8" s="13" t="str">
        <f t="shared" si="1"/>
        <v>15 HORAS</v>
      </c>
      <c r="F8" s="14" t="s">
        <v>21</v>
      </c>
      <c r="G8" s="239">
        <f>+IF(F8="","",VLOOKUP(F8,$H$140:I$192,2,FALSE))</f>
        <v>514916</v>
      </c>
      <c r="H8" s="2"/>
      <c r="I8" s="15" t="s">
        <v>336</v>
      </c>
      <c r="J8" s="125" t="s">
        <v>347</v>
      </c>
      <c r="K8" s="126">
        <v>3</v>
      </c>
      <c r="L8" s="127">
        <v>1</v>
      </c>
      <c r="M8" s="18" t="s">
        <v>13</v>
      </c>
      <c r="N8" s="13" t="str">
        <f>+IF(O8=0,0,CONCATENATE(MID(O8,FIND("-",O8,1)+1,4),"ORAS"))</f>
        <v>09 HORAS</v>
      </c>
      <c r="O8" s="14" t="s">
        <v>158</v>
      </c>
      <c r="P8" s="239">
        <f>+IF(O8="","",VLOOKUP(O8,$H$140:$I$192,2,FALSE))</f>
        <v>345928</v>
      </c>
      <c r="Q8" s="2"/>
      <c r="R8" s="15"/>
      <c r="S8" s="322"/>
      <c r="T8" s="319"/>
      <c r="U8" s="319">
        <f>+U4+U5+U6+U7</f>
        <v>3</v>
      </c>
      <c r="V8" s="18"/>
      <c r="W8" s="14"/>
      <c r="X8" s="14"/>
      <c r="Y8" s="32"/>
      <c r="AA8" s="23"/>
      <c r="AB8" s="23"/>
      <c r="AC8" s="23"/>
      <c r="AD8" s="23"/>
      <c r="AE8" s="23"/>
    </row>
    <row r="9" spans="1:31" ht="15.75" x14ac:dyDescent="0.25">
      <c r="A9" s="33" t="s">
        <v>29</v>
      </c>
      <c r="B9" s="11" t="str">
        <f t="shared" si="0"/>
        <v>3</v>
      </c>
      <c r="C9" s="18">
        <v>1</v>
      </c>
      <c r="D9" s="18" t="s">
        <v>13</v>
      </c>
      <c r="E9" s="13" t="str">
        <f t="shared" si="1"/>
        <v>15 HORAS</v>
      </c>
      <c r="F9" s="14" t="s">
        <v>21</v>
      </c>
      <c r="G9" s="239">
        <f>+IF(F9="","",VLOOKUP(F9,$H$140:I$192,2,FALSE))</f>
        <v>514916</v>
      </c>
      <c r="H9" s="2"/>
      <c r="I9" s="34"/>
      <c r="J9" s="14"/>
      <c r="K9" s="16"/>
      <c r="L9" s="35"/>
      <c r="M9" s="35"/>
      <c r="N9" s="14"/>
      <c r="O9" s="14"/>
      <c r="P9" s="36"/>
      <c r="Q9" s="2"/>
      <c r="R9" s="37"/>
      <c r="S9" s="323"/>
      <c r="T9" s="323"/>
      <c r="U9" s="323"/>
      <c r="V9" s="39"/>
      <c r="W9" s="39"/>
      <c r="X9" s="39"/>
      <c r="Y9" s="2"/>
      <c r="AA9" s="23"/>
      <c r="AB9" s="23"/>
      <c r="AC9" s="23"/>
      <c r="AD9" s="23"/>
      <c r="AE9" s="23"/>
    </row>
    <row r="10" spans="1:31" ht="15.75" x14ac:dyDescent="0.25">
      <c r="A10" s="33" t="s">
        <v>30</v>
      </c>
      <c r="B10" s="11" t="str">
        <f t="shared" si="0"/>
        <v>4</v>
      </c>
      <c r="C10" s="18">
        <v>1</v>
      </c>
      <c r="D10" s="18" t="s">
        <v>13</v>
      </c>
      <c r="E10" s="13" t="str">
        <f t="shared" si="1"/>
        <v>15 HORAS</v>
      </c>
      <c r="F10" s="14" t="s">
        <v>14</v>
      </c>
      <c r="G10" s="239">
        <f>+IF(F10="","",VLOOKUP(F10,$H$140:I$192,2,FALSE))</f>
        <v>582964</v>
      </c>
      <c r="H10" s="2"/>
      <c r="I10" s="34"/>
      <c r="J10" s="14"/>
      <c r="K10" s="16"/>
      <c r="L10" s="35"/>
      <c r="M10" s="35"/>
      <c r="N10" s="14"/>
      <c r="O10" s="14"/>
      <c r="P10" s="36"/>
      <c r="Q10" s="2"/>
      <c r="R10" s="37"/>
      <c r="S10" s="323"/>
      <c r="T10" s="323"/>
      <c r="U10" s="323"/>
      <c r="V10" s="39"/>
      <c r="W10" s="39"/>
      <c r="X10" s="39"/>
      <c r="Y10" s="2"/>
      <c r="AA10" s="23"/>
      <c r="AB10" s="23"/>
      <c r="AC10" s="23"/>
      <c r="AD10" s="23"/>
      <c r="AE10" s="23"/>
    </row>
    <row r="11" spans="1:31" ht="15.75" x14ac:dyDescent="0.25">
      <c r="A11" s="33" t="s">
        <v>31</v>
      </c>
      <c r="B11" s="11" t="str">
        <f t="shared" si="0"/>
        <v>4</v>
      </c>
      <c r="C11" s="12">
        <v>1</v>
      </c>
      <c r="D11" s="12" t="s">
        <v>13</v>
      </c>
      <c r="E11" s="13" t="str">
        <f t="shared" si="1"/>
        <v>15 HORAS</v>
      </c>
      <c r="F11" s="14" t="s">
        <v>14</v>
      </c>
      <c r="G11" s="239">
        <f>+IF(F11="","",VLOOKUP(F11,$H$140:$I$192,2,FALSE))</f>
        <v>582964</v>
      </c>
      <c r="H11" s="2"/>
      <c r="I11" s="34"/>
      <c r="J11" s="14"/>
      <c r="K11" s="16"/>
      <c r="L11" s="35"/>
      <c r="M11" s="35"/>
      <c r="N11" s="14"/>
      <c r="O11" s="14"/>
      <c r="P11" s="40"/>
      <c r="Q11" s="2"/>
      <c r="R11" s="37"/>
      <c r="S11" s="323"/>
      <c r="T11" s="323"/>
      <c r="U11" s="323"/>
      <c r="V11" s="39"/>
      <c r="W11" s="39"/>
      <c r="X11" s="39"/>
      <c r="Y11" s="2"/>
      <c r="AA11" s="23"/>
      <c r="AB11" s="23"/>
      <c r="AC11" s="23"/>
      <c r="AD11" s="23"/>
      <c r="AE11" s="23"/>
    </row>
    <row r="12" spans="1:31" ht="15.75" x14ac:dyDescent="0.25">
      <c r="A12" s="41"/>
      <c r="B12" s="11"/>
      <c r="C12" s="18"/>
      <c r="D12" s="18"/>
      <c r="E12" s="13"/>
      <c r="F12" s="14"/>
      <c r="G12" s="30"/>
      <c r="H12" s="2"/>
      <c r="I12" s="34"/>
      <c r="J12" s="14"/>
      <c r="K12" s="16"/>
      <c r="L12" s="35"/>
      <c r="M12" s="35"/>
      <c r="N12" s="14"/>
      <c r="O12" s="14"/>
      <c r="P12" s="40"/>
      <c r="Q12" s="2"/>
      <c r="R12" s="37"/>
      <c r="S12" s="323"/>
      <c r="T12" s="323"/>
      <c r="U12" s="323"/>
      <c r="V12" s="39"/>
      <c r="W12" s="39"/>
      <c r="X12" s="39"/>
      <c r="Y12" s="2"/>
      <c r="AA12" s="23"/>
      <c r="AB12" s="23"/>
      <c r="AC12" s="23"/>
      <c r="AD12" s="23"/>
      <c r="AE12" s="23"/>
    </row>
    <row r="13" spans="1:31" ht="15.75" x14ac:dyDescent="0.25">
      <c r="A13" s="42"/>
      <c r="B13" s="11">
        <f>+B10+B9+B8+B7+B6+B5+B4+B11</f>
        <v>28</v>
      </c>
      <c r="C13" s="11">
        <f>+C10+C9+C8+C7+C6+C5+C4</f>
        <v>7</v>
      </c>
      <c r="D13" s="43"/>
      <c r="E13" s="43"/>
      <c r="F13" s="14"/>
      <c r="G13" s="44">
        <f>SUM(G4:G12)</f>
        <v>4391520</v>
      </c>
      <c r="H13" s="2"/>
      <c r="I13" s="34"/>
      <c r="J13" s="14"/>
      <c r="K13" s="16"/>
      <c r="L13" s="17"/>
      <c r="M13" s="35"/>
      <c r="N13" s="14"/>
      <c r="O13" s="14"/>
      <c r="P13" s="45"/>
      <c r="Q13" s="2"/>
      <c r="R13" s="355" t="s">
        <v>32</v>
      </c>
      <c r="S13" s="356"/>
      <c r="T13" s="356"/>
      <c r="U13" s="356"/>
      <c r="V13" s="357"/>
      <c r="W13" s="357"/>
      <c r="X13" s="357"/>
      <c r="Y13" s="358"/>
      <c r="AA13" s="23"/>
      <c r="AB13" s="23"/>
      <c r="AC13" s="23"/>
      <c r="AD13" s="23"/>
      <c r="AE13" s="23"/>
    </row>
    <row r="14" spans="1:31" ht="16.5" customHeight="1" x14ac:dyDescent="0.25">
      <c r="A14" s="368" t="s">
        <v>33</v>
      </c>
      <c r="B14" s="368"/>
      <c r="C14" s="368"/>
      <c r="D14" s="368"/>
      <c r="E14" s="368"/>
      <c r="F14" s="368"/>
      <c r="G14" s="368"/>
      <c r="H14" s="2"/>
      <c r="I14" s="34"/>
      <c r="J14" s="14"/>
      <c r="K14" s="16"/>
      <c r="L14" s="17"/>
      <c r="M14" s="35"/>
      <c r="N14" s="14"/>
      <c r="O14" s="14"/>
      <c r="P14" s="46"/>
      <c r="Q14" s="2"/>
      <c r="R14" s="7" t="s">
        <v>11</v>
      </c>
      <c r="S14" s="7" t="s">
        <v>4</v>
      </c>
      <c r="T14" s="8" t="s">
        <v>5</v>
      </c>
      <c r="U14" s="8" t="s">
        <v>6</v>
      </c>
      <c r="V14" s="8" t="s">
        <v>7</v>
      </c>
      <c r="W14" s="8" t="s">
        <v>8</v>
      </c>
      <c r="X14" s="8" t="s">
        <v>9</v>
      </c>
      <c r="Y14" s="8" t="s">
        <v>10</v>
      </c>
      <c r="Z14" s="47"/>
    </row>
    <row r="15" spans="1:31" ht="15.75" x14ac:dyDescent="0.2">
      <c r="A15" s="1" t="s">
        <v>4</v>
      </c>
      <c r="B15" s="5" t="s">
        <v>5</v>
      </c>
      <c r="C15" s="5" t="s">
        <v>6</v>
      </c>
      <c r="D15" s="5" t="s">
        <v>7</v>
      </c>
      <c r="E15" s="5" t="s">
        <v>8</v>
      </c>
      <c r="F15" s="48" t="s">
        <v>9</v>
      </c>
      <c r="G15" s="5" t="s">
        <v>10</v>
      </c>
      <c r="H15" s="2"/>
      <c r="I15" s="42"/>
      <c r="J15" s="42"/>
      <c r="K15" s="42"/>
      <c r="L15" s="42"/>
      <c r="M15" s="42"/>
      <c r="N15" s="14"/>
      <c r="O15" s="14"/>
      <c r="P15" s="49"/>
      <c r="Q15" s="2"/>
      <c r="R15" s="50" t="s">
        <v>15</v>
      </c>
      <c r="S15" s="20" t="s">
        <v>34</v>
      </c>
      <c r="T15" s="16">
        <v>2</v>
      </c>
      <c r="U15" s="20">
        <v>0</v>
      </c>
      <c r="V15" s="20" t="s">
        <v>35</v>
      </c>
      <c r="W15" s="13" t="str">
        <f>+IF(X15=0,0,CONCATENATE(MID(X15,FIND("-",X15,1)+1,4),"ORAS"))</f>
        <v>08 HORAS</v>
      </c>
      <c r="X15" s="14" t="s">
        <v>36</v>
      </c>
      <c r="Y15" s="239">
        <f>+(IF(X15="","",VLOOKUP(X15,$H$140:$I$192,2,FALSE)))*T15</f>
        <v>107154</v>
      </c>
    </row>
    <row r="16" spans="1:31" ht="18.75" customHeight="1" x14ac:dyDescent="0.2">
      <c r="A16" s="33"/>
      <c r="B16" s="51">
        <f>+IF(F16=0,0,MID(F16,LEN(F16)-3,1))</f>
        <v>0</v>
      </c>
      <c r="C16" s="321"/>
      <c r="D16" s="12"/>
      <c r="E16" s="13">
        <f>+IF(F16=0,0,CONCATENATE(MID(F16,FIND("-",F16,1)+1,4),"ORAS"))</f>
        <v>0</v>
      </c>
      <c r="F16" s="14">
        <v>0</v>
      </c>
      <c r="G16" s="19">
        <f>+IF(F16="","",VLOOKUP(F16,$H$140:I$192,2,FALSE))</f>
        <v>0</v>
      </c>
      <c r="H16" s="2"/>
      <c r="I16" s="369" t="s">
        <v>37</v>
      </c>
      <c r="J16" s="357"/>
      <c r="K16" s="357"/>
      <c r="L16" s="357"/>
      <c r="M16" s="357"/>
      <c r="N16" s="357"/>
      <c r="O16" s="357"/>
      <c r="P16" s="370"/>
      <c r="Q16" s="2"/>
      <c r="R16" s="50" t="s">
        <v>15</v>
      </c>
      <c r="S16" s="20" t="s">
        <v>38</v>
      </c>
      <c r="T16" s="16">
        <v>2</v>
      </c>
      <c r="U16" s="20">
        <v>0</v>
      </c>
      <c r="V16" s="20" t="s">
        <v>35</v>
      </c>
      <c r="W16" s="14" t="str">
        <f>+IF(X16=0,0,CONCATENATE(MID(X16,FIND("-",X16,1)+1,4),"ORAS"))</f>
        <v>08 HORAS</v>
      </c>
      <c r="X16" s="14" t="s">
        <v>36</v>
      </c>
      <c r="Y16" s="326">
        <f>+(IF(X16="","",VLOOKUP(X16,$H$140:$I$192,2,FALSE)))*T16</f>
        <v>107154</v>
      </c>
    </row>
    <row r="17" spans="1:31" ht="23.25" customHeight="1" x14ac:dyDescent="0.2">
      <c r="A17" s="52"/>
      <c r="B17" s="16"/>
      <c r="C17" s="319"/>
      <c r="D17" s="18"/>
      <c r="E17" s="14"/>
      <c r="F17" s="14"/>
      <c r="G17" s="30"/>
      <c r="H17" s="2"/>
      <c r="I17" s="7" t="s">
        <v>11</v>
      </c>
      <c r="J17" s="7" t="s">
        <v>4</v>
      </c>
      <c r="K17" s="8" t="s">
        <v>5</v>
      </c>
      <c r="L17" s="8" t="s">
        <v>6</v>
      </c>
      <c r="M17" s="8" t="s">
        <v>7</v>
      </c>
      <c r="N17" s="8" t="s">
        <v>8</v>
      </c>
      <c r="O17" s="8" t="s">
        <v>9</v>
      </c>
      <c r="P17" s="8" t="s">
        <v>10</v>
      </c>
      <c r="Q17" s="2"/>
      <c r="R17" s="2"/>
      <c r="S17" s="2"/>
      <c r="T17" s="2"/>
      <c r="U17" s="2"/>
      <c r="V17" s="2"/>
      <c r="W17" s="2"/>
      <c r="X17" s="2"/>
      <c r="Y17" s="2"/>
    </row>
    <row r="18" spans="1:31" ht="15.75" x14ac:dyDescent="0.25">
      <c r="A18" s="52"/>
      <c r="B18" s="16"/>
      <c r="C18" s="319"/>
      <c r="D18" s="18"/>
      <c r="E18" s="14"/>
      <c r="F18" s="14"/>
      <c r="G18" s="30"/>
      <c r="H18" s="2"/>
      <c r="I18" s="15"/>
      <c r="J18" s="14"/>
      <c r="K18" s="16"/>
      <c r="L18" s="17"/>
      <c r="M18" s="18"/>
      <c r="N18" s="13">
        <f>+IF(O18=0,0,CONCATENATE(MID(O18,FIND("-",O18,1)+1,4),"ORAS"))</f>
        <v>0</v>
      </c>
      <c r="O18" s="14">
        <v>0</v>
      </c>
      <c r="P18" s="19">
        <f>+IF(O18="","",VLOOKUP(O18,$H$140:$I$192,2,FALSE))</f>
        <v>0</v>
      </c>
      <c r="Q18" s="2"/>
      <c r="R18" s="355" t="s">
        <v>39</v>
      </c>
      <c r="S18" s="356"/>
      <c r="T18" s="356"/>
      <c r="U18" s="356"/>
      <c r="V18" s="356"/>
      <c r="W18" s="356"/>
      <c r="X18" s="356"/>
      <c r="Y18" s="358"/>
    </row>
    <row r="19" spans="1:31" ht="15.75" x14ac:dyDescent="0.25">
      <c r="A19" s="53"/>
      <c r="B19" s="16"/>
      <c r="C19" s="18"/>
      <c r="D19" s="18"/>
      <c r="E19" s="14"/>
      <c r="F19" s="14"/>
      <c r="G19" s="30"/>
      <c r="H19" s="2"/>
      <c r="I19" s="15"/>
      <c r="J19" s="14"/>
      <c r="K19" s="16"/>
      <c r="L19" s="54"/>
      <c r="M19" s="55"/>
      <c r="N19" s="13"/>
      <c r="O19" s="14">
        <v>0</v>
      </c>
      <c r="P19" s="19">
        <f>+IF(O19="","",VLOOKUP(O19,$H$140:$I$192,2,FALSE))</f>
        <v>0</v>
      </c>
      <c r="Q19" s="2"/>
      <c r="R19" s="7" t="s">
        <v>11</v>
      </c>
      <c r="S19" s="7" t="s">
        <v>4</v>
      </c>
      <c r="T19" s="8" t="s">
        <v>5</v>
      </c>
      <c r="U19" s="8" t="s">
        <v>6</v>
      </c>
      <c r="V19" s="8" t="s">
        <v>7</v>
      </c>
      <c r="W19" s="8" t="s">
        <v>8</v>
      </c>
      <c r="X19" s="8" t="s">
        <v>9</v>
      </c>
      <c r="Y19" s="8" t="s">
        <v>10</v>
      </c>
      <c r="AA19" s="23"/>
      <c r="AB19" s="23"/>
      <c r="AC19" s="23"/>
      <c r="AD19" s="23"/>
      <c r="AE19" s="23"/>
    </row>
    <row r="20" spans="1:31" ht="15.75" x14ac:dyDescent="0.25">
      <c r="A20" s="56"/>
      <c r="B20" s="16"/>
      <c r="C20" s="57"/>
      <c r="D20" s="57"/>
      <c r="E20" s="14"/>
      <c r="F20" s="14"/>
      <c r="G20" s="30"/>
      <c r="H20" s="2"/>
      <c r="I20" s="34"/>
      <c r="J20" s="13"/>
      <c r="K20" s="16"/>
      <c r="L20" s="58"/>
      <c r="M20" s="22"/>
      <c r="N20" s="13"/>
      <c r="O20" s="14"/>
      <c r="P20" s="59"/>
      <c r="Q20" s="2"/>
      <c r="R20" s="5" t="s">
        <v>40</v>
      </c>
      <c r="S20" s="20" t="s">
        <v>34</v>
      </c>
      <c r="T20" s="16" t="s">
        <v>35</v>
      </c>
      <c r="U20" s="20" t="s">
        <v>35</v>
      </c>
      <c r="V20" s="12" t="s">
        <v>13</v>
      </c>
      <c r="W20" s="13" t="str">
        <f t="shared" ref="W20:W24" si="2">+IF(X20=0,0,CONCATENATE(MID(X20,FIND("-",X20,1)+1,4),"ORAS"))</f>
        <v>15 HORAS</v>
      </c>
      <c r="X20" s="14" t="s">
        <v>41</v>
      </c>
      <c r="Y20" s="239">
        <f t="shared" ref="Y20:Y26" si="3">+IF(X20="","",VLOOKUP(X20,$H$140:$I$192,2,FALSE))</f>
        <v>373234</v>
      </c>
      <c r="AA20" s="23"/>
      <c r="AB20" s="23"/>
      <c r="AC20" s="23"/>
      <c r="AD20" s="23"/>
      <c r="AE20" s="23"/>
    </row>
    <row r="21" spans="1:31" ht="15.75" x14ac:dyDescent="0.25">
      <c r="A21" s="56"/>
      <c r="B21" s="16"/>
      <c r="C21" s="57"/>
      <c r="D21" s="57"/>
      <c r="E21" s="14"/>
      <c r="F21" s="14"/>
      <c r="G21" s="30"/>
      <c r="H21" s="2"/>
      <c r="I21" s="34"/>
      <c r="J21" s="13"/>
      <c r="K21" s="16"/>
      <c r="L21" s="58"/>
      <c r="M21" s="22"/>
      <c r="N21" s="13"/>
      <c r="O21" s="14"/>
      <c r="P21" s="59"/>
      <c r="Q21" s="2"/>
      <c r="R21" s="324" t="s">
        <v>40</v>
      </c>
      <c r="S21" s="20" t="s">
        <v>34</v>
      </c>
      <c r="T21" s="16" t="s">
        <v>35</v>
      </c>
      <c r="U21" s="20" t="s">
        <v>35</v>
      </c>
      <c r="V21" s="12" t="s">
        <v>13</v>
      </c>
      <c r="W21" s="13" t="str">
        <f t="shared" si="2"/>
        <v>15 HORAS</v>
      </c>
      <c r="X21" s="14" t="s">
        <v>41</v>
      </c>
      <c r="Y21" s="239">
        <f t="shared" si="3"/>
        <v>373234</v>
      </c>
      <c r="AA21" s="23"/>
      <c r="AB21" s="23"/>
      <c r="AC21" s="23"/>
      <c r="AD21" s="23"/>
      <c r="AE21" s="23"/>
    </row>
    <row r="22" spans="1:31" ht="15.75" x14ac:dyDescent="0.25">
      <c r="A22" s="56"/>
      <c r="B22" s="16"/>
      <c r="C22" s="57"/>
      <c r="D22" s="57"/>
      <c r="E22" s="14"/>
      <c r="F22" s="57"/>
      <c r="G22" s="30"/>
      <c r="H22" s="2"/>
      <c r="I22" s="34"/>
      <c r="J22" s="13"/>
      <c r="K22" s="16"/>
      <c r="L22" s="58"/>
      <c r="M22" s="22"/>
      <c r="N22" s="13"/>
      <c r="O22" s="14"/>
      <c r="P22" s="59"/>
      <c r="Q22" s="2"/>
      <c r="R22" s="50" t="s">
        <v>15</v>
      </c>
      <c r="S22" s="20" t="s">
        <v>34</v>
      </c>
      <c r="T22" s="16" t="s">
        <v>35</v>
      </c>
      <c r="U22" s="20">
        <v>1</v>
      </c>
      <c r="V22" s="12" t="s">
        <v>13</v>
      </c>
      <c r="W22" s="13" t="str">
        <f t="shared" si="2"/>
        <v>15 HORAS</v>
      </c>
      <c r="X22" s="14" t="s">
        <v>23</v>
      </c>
      <c r="Y22" s="239">
        <f t="shared" si="3"/>
        <v>239262</v>
      </c>
      <c r="AA22" s="23"/>
      <c r="AB22" s="23"/>
      <c r="AC22" s="23"/>
      <c r="AD22" s="23"/>
      <c r="AE22" s="23"/>
    </row>
    <row r="23" spans="1:31" ht="15.75" x14ac:dyDescent="0.25">
      <c r="A23" s="60" t="s">
        <v>42</v>
      </c>
      <c r="B23" s="61">
        <f>SUM(B4:B13)+B16+B17+B18+B19+B20+B22</f>
        <v>28</v>
      </c>
      <c r="C23" s="61">
        <f>+C4+C5+C6+C7+C8+C9+C10+C16</f>
        <v>7</v>
      </c>
      <c r="D23" s="62"/>
      <c r="E23" s="63"/>
      <c r="F23" s="62"/>
      <c r="G23" s="44">
        <f>SUM(G13,G16:G22)</f>
        <v>4391520</v>
      </c>
      <c r="H23" s="2"/>
      <c r="I23" s="34"/>
      <c r="J23" s="14"/>
      <c r="K23" s="16"/>
      <c r="L23" s="54"/>
      <c r="M23" s="54"/>
      <c r="N23" s="13"/>
      <c r="O23" s="14"/>
      <c r="P23" s="59"/>
      <c r="Q23" s="2"/>
      <c r="R23" s="50" t="s">
        <v>15</v>
      </c>
      <c r="S23" s="20" t="s">
        <v>34</v>
      </c>
      <c r="T23" s="16" t="s">
        <v>35</v>
      </c>
      <c r="U23" s="20" t="s">
        <v>35</v>
      </c>
      <c r="V23" s="18" t="s">
        <v>13</v>
      </c>
      <c r="W23" s="14" t="str">
        <f t="shared" si="2"/>
        <v>15 HORAS</v>
      </c>
      <c r="X23" s="14" t="s">
        <v>41</v>
      </c>
      <c r="Y23" s="239">
        <f t="shared" si="3"/>
        <v>373234</v>
      </c>
      <c r="AA23" s="23"/>
      <c r="AB23" s="23"/>
      <c r="AC23" s="23"/>
      <c r="AD23" s="23"/>
      <c r="AE23" s="23"/>
    </row>
    <row r="24" spans="1:31" ht="15.75" x14ac:dyDescent="0.25">
      <c r="A24" s="371" t="s">
        <v>43</v>
      </c>
      <c r="B24" s="371"/>
      <c r="C24" s="371"/>
      <c r="D24" s="371"/>
      <c r="E24" s="371"/>
      <c r="F24" s="371"/>
      <c r="G24" s="371"/>
      <c r="H24" s="2"/>
      <c r="I24" s="65"/>
      <c r="J24" s="14"/>
      <c r="K24" s="16"/>
      <c r="L24" s="54"/>
      <c r="M24" s="22"/>
      <c r="N24" s="13"/>
      <c r="O24" s="14"/>
      <c r="P24" s="66"/>
      <c r="Q24" s="2"/>
      <c r="R24" s="67" t="s">
        <v>44</v>
      </c>
      <c r="S24" s="20" t="s">
        <v>34</v>
      </c>
      <c r="T24" s="16" t="s">
        <v>35</v>
      </c>
      <c r="U24" s="20" t="s">
        <v>35</v>
      </c>
      <c r="V24" s="18" t="s">
        <v>13</v>
      </c>
      <c r="W24" s="14" t="str">
        <f t="shared" si="2"/>
        <v>15 HORAS</v>
      </c>
      <c r="X24" s="14" t="s">
        <v>41</v>
      </c>
      <c r="Y24" s="239">
        <f t="shared" si="3"/>
        <v>373234</v>
      </c>
      <c r="AA24" s="23"/>
      <c r="AB24" s="23"/>
      <c r="AC24" s="23"/>
      <c r="AD24" s="23"/>
      <c r="AE24" s="23"/>
    </row>
    <row r="25" spans="1:31" ht="15.75" x14ac:dyDescent="0.25">
      <c r="A25" s="371" t="s">
        <v>1</v>
      </c>
      <c r="B25" s="371"/>
      <c r="C25" s="371"/>
      <c r="D25" s="371"/>
      <c r="E25" s="371"/>
      <c r="F25" s="371"/>
      <c r="G25" s="371"/>
      <c r="H25" s="2"/>
      <c r="I25" s="34"/>
      <c r="J25" s="68"/>
      <c r="K25" s="16"/>
      <c r="L25" s="35"/>
      <c r="M25" s="35"/>
      <c r="N25" s="14"/>
      <c r="O25" s="14"/>
      <c r="P25" s="69"/>
      <c r="Q25" s="2"/>
      <c r="R25" s="50"/>
      <c r="S25" s="128"/>
      <c r="T25" s="129"/>
      <c r="U25" s="128"/>
      <c r="V25" s="130"/>
      <c r="W25" s="131"/>
      <c r="X25" s="132">
        <v>0</v>
      </c>
      <c r="Y25" s="19">
        <f t="shared" si="3"/>
        <v>0</v>
      </c>
      <c r="AA25" s="23"/>
      <c r="AB25" s="23"/>
      <c r="AC25" s="23"/>
      <c r="AD25" s="23"/>
      <c r="AE25" s="23"/>
    </row>
    <row r="26" spans="1:31" ht="15.75" x14ac:dyDescent="0.2">
      <c r="A26" s="64" t="s">
        <v>4</v>
      </c>
      <c r="B26" s="70" t="s">
        <v>5</v>
      </c>
      <c r="C26" s="70" t="s">
        <v>6</v>
      </c>
      <c r="D26" s="70" t="s">
        <v>7</v>
      </c>
      <c r="E26" s="70" t="s">
        <v>8</v>
      </c>
      <c r="F26" s="70" t="s">
        <v>9</v>
      </c>
      <c r="G26" s="70" t="s">
        <v>10</v>
      </c>
      <c r="H26" s="2"/>
      <c r="I26" s="2"/>
      <c r="J26" s="71" t="s">
        <v>45</v>
      </c>
      <c r="K26" s="72">
        <f>SUM(K4:K15,K18:K25)</f>
        <v>14</v>
      </c>
      <c r="L26" s="72">
        <f>SUM(L4:L25)</f>
        <v>5</v>
      </c>
      <c r="M26" s="71"/>
      <c r="N26" s="71"/>
      <c r="O26" s="71"/>
      <c r="P26" s="73">
        <f>SUM(P4:P25)</f>
        <v>2031991</v>
      </c>
      <c r="Q26" s="2"/>
      <c r="R26" s="133"/>
      <c r="S26" s="128"/>
      <c r="T26" s="129"/>
      <c r="U26" s="128"/>
      <c r="V26" s="130"/>
      <c r="W26" s="132"/>
      <c r="X26" s="132">
        <v>0</v>
      </c>
      <c r="Y26" s="46">
        <f t="shared" si="3"/>
        <v>0</v>
      </c>
      <c r="AA26" s="77"/>
      <c r="AB26" s="77"/>
      <c r="AC26" s="77"/>
      <c r="AD26" s="77"/>
      <c r="AE26" s="78"/>
    </row>
    <row r="27" spans="1:31" ht="15.75" x14ac:dyDescent="0.2">
      <c r="A27" s="79" t="s">
        <v>46</v>
      </c>
      <c r="B27" s="11" t="str">
        <f>+IF(F27=0,0,MID(F27,LEN(F27)-3,1))</f>
        <v>3</v>
      </c>
      <c r="C27" s="12">
        <v>1</v>
      </c>
      <c r="D27" s="12" t="s">
        <v>13</v>
      </c>
      <c r="E27" s="13" t="str">
        <f>+IF(F27=0,0,CONCATENATE(MID(F27,FIND("-",F27,1)+1,4),"ORAS"))</f>
        <v>15 HORAS</v>
      </c>
      <c r="F27" s="14" t="s">
        <v>21</v>
      </c>
      <c r="G27" s="239">
        <f>+IF(F27="","",VLOOKUP(F27,$H$140:I$192,2,FALSE))</f>
        <v>514916</v>
      </c>
      <c r="H27" s="2"/>
      <c r="I27" s="2"/>
      <c r="J27" s="2"/>
      <c r="K27" s="2"/>
      <c r="L27" s="2"/>
      <c r="M27" s="2"/>
      <c r="N27" s="2"/>
      <c r="O27" s="2"/>
      <c r="P27" s="2"/>
      <c r="Q27" s="2"/>
      <c r="R27" s="2"/>
      <c r="S27" s="2"/>
      <c r="T27" s="2"/>
      <c r="U27" s="2"/>
      <c r="V27" s="2"/>
      <c r="W27" s="2"/>
      <c r="X27" s="2"/>
      <c r="Y27" s="2"/>
      <c r="AA27" s="23"/>
      <c r="AB27" s="23"/>
      <c r="AC27" s="23"/>
      <c r="AD27" s="23"/>
      <c r="AE27" s="23"/>
    </row>
    <row r="28" spans="1:31" ht="20.100000000000001" customHeight="1" x14ac:dyDescent="0.2">
      <c r="A28" s="79" t="s">
        <v>47</v>
      </c>
      <c r="B28" s="51" t="str">
        <f>+IF(F28=0,0,MID(F28,LEN(F28)-3,1))</f>
        <v>4</v>
      </c>
      <c r="C28" s="80">
        <v>1</v>
      </c>
      <c r="D28" s="22" t="s">
        <v>13</v>
      </c>
      <c r="E28" s="13" t="str">
        <f>+IF(F28=0,0,CONCATENATE(MID(F28,FIND("-",F28,1)+1,4),"ORAS"))</f>
        <v>15 HORAS</v>
      </c>
      <c r="F28" s="14" t="s">
        <v>14</v>
      </c>
      <c r="G28" s="239">
        <f>+IF(F28="","",VLOOKUP(F28,$H$140:I$192,2,FALSE))</f>
        <v>582964</v>
      </c>
      <c r="H28" s="2"/>
      <c r="I28" s="2"/>
      <c r="J28" s="2"/>
      <c r="K28" s="2"/>
      <c r="L28" s="2"/>
      <c r="M28" s="2"/>
      <c r="N28" s="2"/>
      <c r="O28" s="2"/>
      <c r="P28" s="2"/>
      <c r="Q28" s="2"/>
      <c r="R28" s="2"/>
      <c r="S28" s="2"/>
      <c r="T28" s="2"/>
      <c r="U28" s="2"/>
      <c r="V28" s="2"/>
      <c r="W28" s="2"/>
      <c r="X28" s="2"/>
      <c r="Y28" s="2"/>
    </row>
    <row r="29" spans="1:31" ht="15.75" customHeight="1" x14ac:dyDescent="0.2">
      <c r="A29" s="79" t="s">
        <v>48</v>
      </c>
      <c r="B29" s="51" t="str">
        <f>+IF(F29=0,0,MID(F29,LEN(F29)-3,1))</f>
        <v>3</v>
      </c>
      <c r="C29" s="80">
        <v>1</v>
      </c>
      <c r="D29" s="22" t="s">
        <v>13</v>
      </c>
      <c r="E29" s="13" t="str">
        <f>+IF(F29=0,0,CONCATENATE(MID(F29,FIND("-",F29,1)+1,4),"ORAS"))</f>
        <v>15 HORAS</v>
      </c>
      <c r="F29" s="14" t="s">
        <v>21</v>
      </c>
      <c r="G29" s="239">
        <f>+IF(F29="","",VLOOKUP(F29,$H$140:I$192,2,FALSE))</f>
        <v>514916</v>
      </c>
      <c r="H29" s="2"/>
      <c r="I29" s="2"/>
      <c r="J29" s="2"/>
      <c r="K29" s="2"/>
      <c r="L29" s="2"/>
      <c r="M29" s="2"/>
      <c r="N29" s="2"/>
      <c r="O29" s="2"/>
      <c r="P29" s="2"/>
      <c r="Q29" s="2"/>
      <c r="R29" s="2"/>
      <c r="S29" s="74" t="s">
        <v>45</v>
      </c>
      <c r="T29" s="75">
        <f>T4+T5+T6+T15+T16</f>
        <v>16</v>
      </c>
      <c r="U29" s="75">
        <f>SUM(U4:U7,U22)</f>
        <v>4</v>
      </c>
      <c r="V29" s="2"/>
      <c r="W29" s="2"/>
      <c r="X29" s="2"/>
      <c r="Y29" s="76">
        <f>SUM(Y4:Y26)</f>
        <v>3451723</v>
      </c>
    </row>
    <row r="30" spans="1:31" ht="15.75" x14ac:dyDescent="0.2">
      <c r="A30" s="79" t="s">
        <v>49</v>
      </c>
      <c r="B30" s="51">
        <v>3</v>
      </c>
      <c r="C30" s="80">
        <v>1</v>
      </c>
      <c r="D30" s="22" t="s">
        <v>13</v>
      </c>
      <c r="E30" s="13" t="str">
        <f t="shared" ref="E30" si="4">+IF(F30=0,0,CONCATENATE(MID(F30,FIND("-",F30,1)+1,4),"ORAS"))</f>
        <v>15 HORAS</v>
      </c>
      <c r="F30" s="14" t="s">
        <v>21</v>
      </c>
      <c r="G30" s="239">
        <f>+IF(F30="","",VLOOKUP(F30,$H$140:I$192,2,FALSE))</f>
        <v>514916</v>
      </c>
      <c r="H30" s="2"/>
      <c r="I30" s="2"/>
      <c r="J30" s="2"/>
      <c r="K30" s="2"/>
      <c r="L30" s="2"/>
      <c r="M30" s="2"/>
      <c r="N30" s="2"/>
      <c r="O30" s="2"/>
      <c r="P30" s="2"/>
      <c r="Q30" s="2"/>
      <c r="R30" s="2"/>
      <c r="S30" s="2"/>
      <c r="T30" s="2"/>
      <c r="U30" s="2"/>
      <c r="V30" s="2"/>
      <c r="W30" s="2"/>
      <c r="X30" s="2"/>
      <c r="Y30" s="2"/>
    </row>
    <row r="31" spans="1:31" ht="15.75" x14ac:dyDescent="0.2">
      <c r="A31" s="81"/>
      <c r="B31" s="51"/>
      <c r="C31" s="80"/>
      <c r="D31" s="22"/>
      <c r="E31" s="13"/>
      <c r="F31" s="57"/>
      <c r="G31" s="19"/>
      <c r="H31" s="2"/>
      <c r="I31" s="2"/>
      <c r="J31" s="2"/>
      <c r="K31" s="2"/>
      <c r="L31" s="2"/>
      <c r="M31" s="2"/>
      <c r="N31" s="2"/>
      <c r="O31" s="2"/>
      <c r="P31" s="2"/>
      <c r="Q31" s="2"/>
      <c r="R31" s="2"/>
      <c r="S31" s="2"/>
      <c r="T31" s="2"/>
      <c r="U31" s="2"/>
      <c r="V31" s="2"/>
      <c r="W31" s="2"/>
      <c r="X31" s="2"/>
      <c r="Y31" s="2"/>
    </row>
    <row r="32" spans="1:31" ht="15.75" x14ac:dyDescent="0.2">
      <c r="A32" s="81"/>
      <c r="B32" s="80"/>
      <c r="C32" s="80"/>
      <c r="D32" s="22"/>
      <c r="E32" s="13"/>
      <c r="F32" s="57"/>
      <c r="G32" s="19"/>
      <c r="H32" s="2"/>
      <c r="I32" s="2"/>
      <c r="J32" s="2"/>
      <c r="K32" s="2"/>
      <c r="L32" s="2"/>
      <c r="M32" s="2"/>
      <c r="N32" s="2"/>
      <c r="O32" s="2"/>
      <c r="P32" s="2"/>
      <c r="Q32" s="2"/>
      <c r="R32" s="2"/>
      <c r="S32" s="2"/>
      <c r="T32" s="2"/>
      <c r="U32" s="2"/>
      <c r="V32" s="2"/>
      <c r="W32" s="2"/>
      <c r="X32" s="2"/>
      <c r="Y32" s="2"/>
    </row>
    <row r="33" spans="1:25" ht="15.75" x14ac:dyDescent="0.2">
      <c r="A33" s="372" t="s">
        <v>33</v>
      </c>
      <c r="B33" s="372"/>
      <c r="C33" s="372"/>
      <c r="D33" s="372"/>
      <c r="E33" s="372"/>
      <c r="F33" s="372"/>
      <c r="G33" s="372"/>
      <c r="H33" s="2"/>
      <c r="I33" s="2"/>
      <c r="J33" s="2"/>
      <c r="K33" s="2"/>
      <c r="L33" s="2"/>
      <c r="M33" s="2"/>
      <c r="N33" s="2"/>
      <c r="O33" s="2"/>
      <c r="P33" s="2"/>
      <c r="Q33" s="2"/>
      <c r="R33" s="2"/>
      <c r="S33" s="2"/>
      <c r="T33" s="2"/>
      <c r="U33" s="2"/>
      <c r="V33" s="2"/>
      <c r="W33" s="2"/>
      <c r="X33" s="2"/>
      <c r="Y33" s="2"/>
    </row>
    <row r="34" spans="1:25" ht="15.75" x14ac:dyDescent="0.2">
      <c r="A34" s="64"/>
      <c r="B34" s="70" t="s">
        <v>5</v>
      </c>
      <c r="C34" s="70" t="s">
        <v>6</v>
      </c>
      <c r="D34" s="70" t="s">
        <v>7</v>
      </c>
      <c r="E34" s="70"/>
      <c r="F34" s="70" t="s">
        <v>9</v>
      </c>
      <c r="G34" s="70" t="s">
        <v>10</v>
      </c>
      <c r="H34" s="2"/>
      <c r="I34" s="2"/>
      <c r="J34" s="2"/>
      <c r="K34" s="2"/>
      <c r="L34" s="2"/>
      <c r="M34" s="2"/>
      <c r="N34" s="2"/>
      <c r="O34" s="2"/>
      <c r="P34" s="2"/>
      <c r="Q34" s="2"/>
      <c r="R34" s="2"/>
      <c r="S34" s="2"/>
      <c r="T34" s="2"/>
      <c r="U34" s="2"/>
      <c r="V34" s="2"/>
      <c r="W34" s="2"/>
      <c r="X34" s="2"/>
      <c r="Y34" s="82"/>
    </row>
    <row r="35" spans="1:25" ht="15.75" x14ac:dyDescent="0.25">
      <c r="A35" s="10" t="s">
        <v>50</v>
      </c>
      <c r="B35" s="51" t="str">
        <f>+IF(F35=0,0,MID(F35,LEN(F35)-3,1))</f>
        <v>3</v>
      </c>
      <c r="C35" s="325">
        <v>1</v>
      </c>
      <c r="D35" s="22" t="s">
        <v>13</v>
      </c>
      <c r="E35" s="13" t="str">
        <f>+IF(F35=0,0,CONCATENATE(MID(F35,FIND("-",F35,1)+1,4),"ORAS"))</f>
        <v>15 HORAS</v>
      </c>
      <c r="F35" s="14" t="s">
        <v>17</v>
      </c>
      <c r="G35" s="239">
        <f>+IF(F35="","",VLOOKUP(F35,$H$140:I$192,2,FALSE))</f>
        <v>443323</v>
      </c>
      <c r="H35" s="2"/>
      <c r="I35" s="2"/>
      <c r="J35" s="2"/>
      <c r="K35" s="2"/>
      <c r="L35" s="2"/>
      <c r="M35" s="2"/>
      <c r="N35" s="2"/>
      <c r="O35" s="2"/>
      <c r="P35" s="2"/>
      <c r="Q35" s="2"/>
      <c r="R35" s="2"/>
      <c r="S35" s="2"/>
      <c r="T35" s="2"/>
      <c r="U35" s="2"/>
      <c r="V35" s="2"/>
      <c r="W35" s="2"/>
      <c r="X35" s="2"/>
      <c r="Y35" s="82"/>
    </row>
    <row r="36" spans="1:25" ht="15.75" x14ac:dyDescent="0.25">
      <c r="A36" s="79" t="s">
        <v>51</v>
      </c>
      <c r="B36" s="51" t="str">
        <f>+IF(F36=0,0,MID(F36,LEN(F36)-3,1))</f>
        <v>3</v>
      </c>
      <c r="C36" s="325">
        <v>1</v>
      </c>
      <c r="D36" s="22" t="s">
        <v>13</v>
      </c>
      <c r="E36" s="13" t="str">
        <f>+IF(F36=0,0,CONCATENATE(MID(F36,FIND("-",F36,1)+1,4),"ORAS"))</f>
        <v>15 HORAS</v>
      </c>
      <c r="F36" s="14" t="s">
        <v>17</v>
      </c>
      <c r="G36" s="239">
        <f>+IF(F36="","",VLOOKUP(F36,$H$140:I$192,2,FALSE))</f>
        <v>443323</v>
      </c>
      <c r="H36" s="2"/>
      <c r="I36" s="2"/>
      <c r="J36" s="2"/>
      <c r="K36" s="2"/>
      <c r="L36" s="2"/>
      <c r="M36" s="2"/>
      <c r="N36" s="2"/>
      <c r="O36" s="2"/>
      <c r="P36" s="2"/>
      <c r="Q36" s="2"/>
      <c r="R36" s="2"/>
      <c r="S36" s="2"/>
      <c r="T36" s="2"/>
      <c r="U36" s="2"/>
      <c r="V36" s="2"/>
      <c r="W36" s="2"/>
      <c r="X36" s="2"/>
      <c r="Y36" s="2"/>
    </row>
    <row r="37" spans="1:25" ht="15.75" x14ac:dyDescent="0.25">
      <c r="A37" s="79" t="s">
        <v>52</v>
      </c>
      <c r="B37" s="51" t="str">
        <f>+IF(F37=0,0,MID(F37,LEN(F37)-3,1))</f>
        <v>3</v>
      </c>
      <c r="C37" s="325">
        <v>1</v>
      </c>
      <c r="D37" s="22" t="s">
        <v>13</v>
      </c>
      <c r="E37" s="13" t="str">
        <f>+IF(F37=0,0,CONCATENATE(MID(F37,FIND("-",F37,1)+1,4),"ORAS"))</f>
        <v>15 HORAS</v>
      </c>
      <c r="F37" s="14" t="s">
        <v>17</v>
      </c>
      <c r="G37" s="239">
        <f>+IF(F37="","",VLOOKUP(F37,$H$140:I$192,2,FALSE))</f>
        <v>443323</v>
      </c>
      <c r="H37" s="2"/>
      <c r="I37" s="2"/>
      <c r="J37" s="2"/>
      <c r="K37" s="2"/>
      <c r="L37" s="2"/>
      <c r="M37" s="2"/>
      <c r="N37" s="2"/>
      <c r="O37" s="2"/>
      <c r="P37" s="2"/>
      <c r="Q37" s="2"/>
      <c r="R37" s="2"/>
      <c r="S37" s="2"/>
      <c r="T37" s="2"/>
      <c r="U37" s="2"/>
      <c r="V37" s="2"/>
      <c r="W37" s="2"/>
      <c r="X37" s="2"/>
      <c r="Y37" s="2"/>
    </row>
    <row r="38" spans="1:25" ht="15.75" x14ac:dyDescent="0.25">
      <c r="A38" s="34" t="s">
        <v>53</v>
      </c>
      <c r="B38" s="51" t="str">
        <f>+IF(F38=0,0,MID(F38,LEN(F38)-3,1))</f>
        <v>3</v>
      </c>
      <c r="C38" s="325">
        <v>1</v>
      </c>
      <c r="D38" s="22" t="s">
        <v>13</v>
      </c>
      <c r="E38" s="13" t="str">
        <f>+IF(F38=0,0,CONCATENATE(MID(F38,FIND("-",F38,1)+1,4),"ORAS"))</f>
        <v>15 HORAS</v>
      </c>
      <c r="F38" s="14" t="s">
        <v>17</v>
      </c>
      <c r="G38" s="239">
        <f>+IF(F38="","",VLOOKUP(F38,$H$140:I$192,2,FALSE))</f>
        <v>443323</v>
      </c>
      <c r="H38" s="2"/>
      <c r="I38" s="2"/>
      <c r="J38" s="2"/>
      <c r="K38" s="2"/>
      <c r="L38" s="2"/>
      <c r="M38" s="2"/>
      <c r="N38" s="2"/>
      <c r="O38" s="2"/>
      <c r="P38" s="2"/>
      <c r="Q38" s="2"/>
      <c r="R38" s="2"/>
      <c r="S38" s="2"/>
      <c r="T38" s="2"/>
      <c r="U38" s="2"/>
      <c r="V38" s="2"/>
      <c r="W38" s="2"/>
      <c r="X38" s="2"/>
      <c r="Y38" s="2"/>
    </row>
    <row r="39" spans="1:25" ht="15.75" x14ac:dyDescent="0.25">
      <c r="A39" s="84"/>
      <c r="B39" s="51"/>
      <c r="C39" s="325"/>
      <c r="D39" s="22"/>
      <c r="E39" s="13">
        <f>+IF(F39=0,0,CONCATENATE(MID(F39,FIND("-",F39,1)+1,4),"ORAS"))</f>
        <v>0</v>
      </c>
      <c r="F39" s="14">
        <v>0</v>
      </c>
      <c r="G39" s="19">
        <f>+IF(F39="","",VLOOKUP(F39,$H$140:I$192,2,FALSE))</f>
        <v>0</v>
      </c>
      <c r="H39" s="2"/>
      <c r="I39" s="2"/>
      <c r="J39" s="2"/>
      <c r="K39" s="2"/>
      <c r="L39" s="2"/>
      <c r="M39" s="2"/>
      <c r="N39" s="2"/>
      <c r="O39" s="2"/>
      <c r="P39" s="2"/>
      <c r="Q39" s="2"/>
      <c r="R39" s="2"/>
      <c r="S39" s="2"/>
      <c r="T39" s="2"/>
      <c r="U39" s="2"/>
      <c r="V39" s="2"/>
      <c r="W39" s="2"/>
      <c r="X39" s="2"/>
      <c r="Y39" s="2"/>
    </row>
    <row r="40" spans="1:25" ht="15.75" x14ac:dyDescent="0.2">
      <c r="A40" s="85"/>
      <c r="B40" s="16"/>
      <c r="C40" s="86"/>
      <c r="D40" s="43"/>
      <c r="E40" s="13"/>
      <c r="F40" s="57"/>
      <c r="G40" s="19"/>
      <c r="H40" s="2"/>
      <c r="I40" s="2"/>
      <c r="J40" s="2"/>
      <c r="K40" s="2"/>
      <c r="L40" s="2"/>
      <c r="M40" s="2"/>
      <c r="N40" s="2"/>
      <c r="O40" s="2"/>
      <c r="P40" s="2"/>
      <c r="Q40" s="2"/>
      <c r="R40" s="2"/>
      <c r="S40" s="2"/>
      <c r="T40" s="2"/>
      <c r="U40" s="2"/>
      <c r="V40" s="2"/>
      <c r="W40" s="2"/>
      <c r="X40" s="2"/>
      <c r="Y40" s="2"/>
    </row>
    <row r="41" spans="1:25" ht="15.75" x14ac:dyDescent="0.2">
      <c r="A41" s="60" t="s">
        <v>42</v>
      </c>
      <c r="B41" s="61">
        <f>+B27+B28+B29+B35+B36+B37+B38+B39+B30</f>
        <v>25</v>
      </c>
      <c r="C41" s="62">
        <f>SUM(C27:C32)+C35+C36+C37+C38+C39+C40</f>
        <v>8</v>
      </c>
      <c r="D41" s="62"/>
      <c r="E41" s="13">
        <f>+IF(F41=0,0,CONCATENATE(MID(F41,FIND("-",F41,1)+1,3),"ORAS"))</f>
        <v>0</v>
      </c>
      <c r="F41" s="62"/>
      <c r="G41" s="44">
        <f>SUM(G27:G32,G35:G40)</f>
        <v>3901004</v>
      </c>
      <c r="H41" s="2"/>
      <c r="I41" s="2"/>
      <c r="J41" s="2"/>
      <c r="K41" s="2"/>
      <c r="L41" s="2"/>
      <c r="M41" s="2"/>
      <c r="N41" s="2"/>
      <c r="O41" s="2"/>
      <c r="P41" s="2"/>
      <c r="Q41" s="2"/>
      <c r="R41" s="2"/>
      <c r="S41" s="2"/>
      <c r="T41" s="2"/>
      <c r="U41" s="2"/>
      <c r="V41" s="2"/>
      <c r="W41" s="2"/>
      <c r="X41" s="2"/>
      <c r="Y41" s="2"/>
    </row>
    <row r="42" spans="1:25" ht="15.75" x14ac:dyDescent="0.2">
      <c r="A42" s="373" t="s">
        <v>54</v>
      </c>
      <c r="B42" s="373"/>
      <c r="C42" s="373"/>
      <c r="D42" s="373"/>
      <c r="E42" s="373"/>
      <c r="F42" s="373"/>
      <c r="G42" s="373"/>
      <c r="H42" s="2"/>
      <c r="I42" s="2"/>
      <c r="J42" s="2"/>
      <c r="K42" s="2"/>
      <c r="L42" s="2"/>
      <c r="M42" s="2"/>
      <c r="N42" s="2"/>
      <c r="O42" s="2"/>
      <c r="P42" s="2"/>
      <c r="Q42" s="2"/>
      <c r="R42" s="2"/>
      <c r="S42" s="2"/>
      <c r="T42" s="2"/>
      <c r="U42" s="2"/>
      <c r="V42" s="2"/>
      <c r="W42" s="2"/>
      <c r="X42" s="2"/>
      <c r="Y42" s="2"/>
    </row>
    <row r="43" spans="1:25" ht="15.75" x14ac:dyDescent="0.2">
      <c r="A43" s="373" t="s">
        <v>1</v>
      </c>
      <c r="B43" s="373"/>
      <c r="C43" s="373"/>
      <c r="D43" s="373"/>
      <c r="E43" s="373"/>
      <c r="F43" s="373"/>
      <c r="G43" s="373"/>
      <c r="H43" s="2"/>
      <c r="I43" s="2"/>
      <c r="J43" s="2"/>
      <c r="K43" s="2"/>
      <c r="L43" s="2"/>
      <c r="M43" s="2"/>
      <c r="N43" s="2"/>
      <c r="O43" s="2"/>
      <c r="P43" s="2"/>
      <c r="Q43" s="2"/>
      <c r="R43" s="2"/>
      <c r="S43" s="2"/>
      <c r="T43" s="2"/>
      <c r="U43" s="2"/>
      <c r="V43" s="2"/>
      <c r="W43" s="2"/>
      <c r="X43" s="2"/>
      <c r="Y43" s="2"/>
    </row>
    <row r="44" spans="1:25" ht="15.75" x14ac:dyDescent="0.2">
      <c r="A44" s="87" t="s">
        <v>4</v>
      </c>
      <c r="B44" s="88" t="s">
        <v>5</v>
      </c>
      <c r="C44" s="88" t="s">
        <v>6</v>
      </c>
      <c r="D44" s="88" t="s">
        <v>7</v>
      </c>
      <c r="E44" s="88" t="s">
        <v>8</v>
      </c>
      <c r="F44" s="88" t="s">
        <v>9</v>
      </c>
      <c r="G44" s="88" t="s">
        <v>10</v>
      </c>
      <c r="H44" s="2"/>
      <c r="I44" s="2"/>
      <c r="J44" s="2"/>
      <c r="K44" s="2"/>
      <c r="L44" s="2"/>
      <c r="M44" s="2"/>
      <c r="N44" s="2"/>
      <c r="O44" s="2"/>
      <c r="P44" s="2"/>
      <c r="Q44" s="2"/>
      <c r="R44" s="2"/>
      <c r="S44" s="2"/>
      <c r="T44" s="2"/>
      <c r="U44" s="2"/>
      <c r="V44" s="2"/>
      <c r="W44" s="2"/>
      <c r="X44" s="2"/>
      <c r="Y44" s="2"/>
    </row>
    <row r="45" spans="1:25" ht="15.75" x14ac:dyDescent="0.2">
      <c r="A45" s="89"/>
      <c r="B45" s="90"/>
      <c r="C45" s="90"/>
      <c r="D45" s="91"/>
      <c r="E45" s="91"/>
      <c r="F45" s="91"/>
      <c r="G45" s="92"/>
      <c r="H45" s="2"/>
      <c r="I45" s="2"/>
      <c r="J45" s="2"/>
      <c r="K45" s="2"/>
      <c r="L45" s="2"/>
      <c r="M45" s="2"/>
      <c r="N45" s="2"/>
      <c r="O45" s="2"/>
      <c r="P45" s="2"/>
      <c r="Q45" s="2"/>
      <c r="R45" s="2"/>
      <c r="S45" s="2"/>
      <c r="T45" s="2"/>
      <c r="U45" s="2"/>
      <c r="V45" s="2"/>
      <c r="W45" s="2"/>
      <c r="X45" s="2"/>
      <c r="Y45" s="2"/>
    </row>
    <row r="46" spans="1:25" ht="1.5" customHeight="1" x14ac:dyDescent="0.2">
      <c r="A46" s="89"/>
      <c r="B46" s="90"/>
      <c r="C46" s="90"/>
      <c r="D46" s="90"/>
      <c r="E46" s="90"/>
      <c r="F46" s="90"/>
      <c r="G46" s="90"/>
      <c r="H46" s="2"/>
      <c r="I46" s="2"/>
      <c r="J46" s="2"/>
      <c r="K46" s="2"/>
      <c r="L46" s="2"/>
      <c r="M46" s="2"/>
      <c r="N46" s="2"/>
      <c r="O46" s="2"/>
      <c r="P46" s="2"/>
      <c r="Q46" s="2"/>
      <c r="R46" s="2"/>
      <c r="S46" s="2"/>
      <c r="T46" s="2"/>
      <c r="U46" s="2"/>
      <c r="V46" s="2"/>
      <c r="W46" s="2"/>
      <c r="X46" s="2"/>
      <c r="Y46" s="2"/>
    </row>
    <row r="47" spans="1:25" ht="15.75" x14ac:dyDescent="0.25">
      <c r="A47" s="53"/>
      <c r="B47" s="16"/>
      <c r="C47" s="325"/>
      <c r="D47" s="22"/>
      <c r="E47" s="13"/>
      <c r="F47" s="57"/>
      <c r="G47" s="57"/>
      <c r="H47" s="2"/>
      <c r="I47" s="2"/>
      <c r="J47" s="374"/>
      <c r="K47" s="374"/>
      <c r="L47" s="374"/>
      <c r="M47" s="374"/>
      <c r="N47" s="374"/>
      <c r="O47" s="374"/>
      <c r="P47" s="374"/>
      <c r="Q47" s="2"/>
      <c r="R47" s="2"/>
      <c r="S47" s="2"/>
      <c r="T47" s="2"/>
      <c r="U47" s="2"/>
      <c r="V47" s="2"/>
      <c r="W47" s="2"/>
      <c r="X47" s="2"/>
      <c r="Y47" s="2"/>
    </row>
    <row r="48" spans="1:25" ht="15.75" x14ac:dyDescent="0.2">
      <c r="A48" s="93"/>
      <c r="B48" s="16"/>
      <c r="C48" s="57"/>
      <c r="D48" s="57"/>
      <c r="E48" s="13"/>
      <c r="F48" s="57"/>
      <c r="G48" s="57"/>
      <c r="H48" s="2"/>
      <c r="I48" s="2"/>
      <c r="J48" s="374"/>
      <c r="K48" s="374"/>
      <c r="L48" s="374"/>
      <c r="M48" s="374"/>
      <c r="N48" s="374"/>
      <c r="O48" s="374"/>
      <c r="P48" s="374"/>
      <c r="Q48" s="2"/>
      <c r="R48" s="2"/>
      <c r="S48" s="2"/>
      <c r="T48" s="2"/>
      <c r="U48" s="2"/>
      <c r="V48" s="2"/>
      <c r="W48" s="2"/>
      <c r="X48" s="2"/>
      <c r="Y48" s="2"/>
    </row>
    <row r="49" spans="1:25" ht="15.75" x14ac:dyDescent="0.2">
      <c r="A49" s="93"/>
      <c r="B49" s="16"/>
      <c r="C49" s="57"/>
      <c r="D49" s="57"/>
      <c r="E49" s="13"/>
      <c r="F49" s="57"/>
      <c r="G49" s="57"/>
      <c r="H49" s="2"/>
      <c r="I49" s="2"/>
      <c r="J49" s="374"/>
      <c r="K49" s="374"/>
      <c r="L49" s="374"/>
      <c r="M49" s="374"/>
      <c r="N49" s="374"/>
      <c r="O49" s="374"/>
      <c r="P49" s="374"/>
      <c r="Q49" s="2"/>
      <c r="R49" s="2"/>
      <c r="S49" s="2"/>
      <c r="T49" s="2"/>
      <c r="U49" s="2"/>
      <c r="V49" s="2"/>
      <c r="W49" s="2"/>
      <c r="X49" s="2"/>
      <c r="Y49" s="2"/>
    </row>
    <row r="50" spans="1:25" ht="15.75" x14ac:dyDescent="0.2">
      <c r="A50" s="93"/>
      <c r="B50" s="16"/>
      <c r="C50" s="57"/>
      <c r="D50" s="57"/>
      <c r="E50" s="13"/>
      <c r="F50" s="57"/>
      <c r="G50" s="57"/>
      <c r="H50" s="2"/>
      <c r="I50" s="2"/>
      <c r="J50" s="374"/>
      <c r="K50" s="374"/>
      <c r="L50" s="374"/>
      <c r="M50" s="374"/>
      <c r="N50" s="374"/>
      <c r="O50" s="374"/>
      <c r="P50" s="374"/>
      <c r="Q50" s="2"/>
      <c r="R50" s="2"/>
      <c r="S50" s="2"/>
      <c r="T50" s="2"/>
      <c r="U50" s="2"/>
      <c r="V50" s="2"/>
      <c r="W50" s="2"/>
      <c r="X50" s="2"/>
      <c r="Y50" s="2"/>
    </row>
    <row r="51" spans="1:25" ht="15.75" x14ac:dyDescent="0.2">
      <c r="A51" s="93"/>
      <c r="B51" s="57"/>
      <c r="C51" s="57"/>
      <c r="D51" s="57"/>
      <c r="E51" s="13"/>
      <c r="F51" s="57"/>
      <c r="G51" s="57"/>
      <c r="H51" s="2"/>
      <c r="I51" s="2"/>
      <c r="J51" s="374"/>
      <c r="K51" s="374"/>
      <c r="L51" s="374"/>
      <c r="M51" s="374"/>
      <c r="N51" s="374"/>
      <c r="O51" s="374"/>
      <c r="P51" s="374"/>
      <c r="Q51" s="2"/>
      <c r="R51" s="2"/>
      <c r="S51" s="2"/>
      <c r="T51" s="2"/>
      <c r="U51" s="2"/>
      <c r="V51" s="2"/>
      <c r="W51" s="2"/>
      <c r="X51" s="2"/>
      <c r="Y51" s="2"/>
    </row>
    <row r="52" spans="1:25" ht="15.75" x14ac:dyDescent="0.2">
      <c r="A52" s="93"/>
      <c r="B52" s="57"/>
      <c r="C52" s="57"/>
      <c r="D52" s="57"/>
      <c r="E52" s="13"/>
      <c r="F52" s="57"/>
      <c r="G52" s="57"/>
      <c r="H52" s="2"/>
      <c r="I52" s="2"/>
      <c r="J52" s="374"/>
      <c r="K52" s="374"/>
      <c r="L52" s="374"/>
      <c r="M52" s="374"/>
      <c r="N52" s="374"/>
      <c r="O52" s="374"/>
      <c r="P52" s="374"/>
      <c r="Q52" s="2"/>
      <c r="R52" s="2"/>
      <c r="S52" s="2"/>
      <c r="T52" s="2"/>
      <c r="U52" s="2"/>
      <c r="V52" s="2"/>
      <c r="W52" s="2"/>
      <c r="X52" s="2"/>
      <c r="Y52" s="2"/>
    </row>
    <row r="53" spans="1:25" ht="15.75" x14ac:dyDescent="0.2">
      <c r="A53" s="376" t="s">
        <v>33</v>
      </c>
      <c r="B53" s="376"/>
      <c r="C53" s="376"/>
      <c r="D53" s="376"/>
      <c r="E53" s="376"/>
      <c r="F53" s="376"/>
      <c r="G53" s="376"/>
      <c r="H53" s="2"/>
      <c r="I53" s="2"/>
      <c r="J53" s="374"/>
      <c r="K53" s="374"/>
      <c r="L53" s="374"/>
      <c r="M53" s="374"/>
      <c r="N53" s="374"/>
      <c r="O53" s="374"/>
      <c r="P53" s="374"/>
      <c r="Q53" s="2"/>
      <c r="R53" s="2"/>
      <c r="S53" s="2"/>
      <c r="T53" s="2"/>
      <c r="U53" s="2"/>
      <c r="V53" s="2"/>
      <c r="W53" s="2"/>
      <c r="X53" s="2"/>
      <c r="Y53" s="2"/>
    </row>
    <row r="54" spans="1:25" ht="15.75" x14ac:dyDescent="0.2">
      <c r="A54" s="87" t="s">
        <v>4</v>
      </c>
      <c r="B54" s="88" t="s">
        <v>5</v>
      </c>
      <c r="C54" s="88" t="s">
        <v>6</v>
      </c>
      <c r="D54" s="88" t="s">
        <v>7</v>
      </c>
      <c r="E54" s="88" t="s">
        <v>8</v>
      </c>
      <c r="F54" s="88" t="s">
        <v>9</v>
      </c>
      <c r="G54" s="88" t="s">
        <v>10</v>
      </c>
      <c r="H54" s="2"/>
      <c r="I54" s="2"/>
      <c r="J54" s="374"/>
      <c r="K54" s="374"/>
      <c r="L54" s="374"/>
      <c r="M54" s="374"/>
      <c r="N54" s="374"/>
      <c r="O54" s="374"/>
      <c r="P54" s="374"/>
      <c r="Q54" s="2"/>
      <c r="R54" s="2"/>
      <c r="S54" s="2"/>
      <c r="T54" s="2"/>
      <c r="U54" s="2"/>
      <c r="V54" s="2"/>
      <c r="W54" s="2"/>
      <c r="X54" s="2"/>
      <c r="Y54" s="2"/>
    </row>
    <row r="55" spans="1:25" ht="15.75" x14ac:dyDescent="0.25">
      <c r="A55" s="53" t="s">
        <v>55</v>
      </c>
      <c r="B55" s="94" t="str">
        <f t="shared" ref="B55:B64" si="5">+IF(F55=0,0,MID(F55,LEN(F55)-3,1))</f>
        <v>3</v>
      </c>
      <c r="C55" s="325">
        <v>1</v>
      </c>
      <c r="D55" s="22" t="s">
        <v>13</v>
      </c>
      <c r="E55" s="13" t="str">
        <f t="shared" ref="E55:E64" si="6">+IF(F55=0,0,CONCATENATE(MID(F55,FIND("-",F55,1)+1,4),"ORAS"))</f>
        <v>15 HORAS</v>
      </c>
      <c r="F55" s="14" t="s">
        <v>17</v>
      </c>
      <c r="G55" s="239">
        <f>+IF(F55="","",VLOOKUP(F55,$H$140:I$192,2,FALSE))</f>
        <v>443323</v>
      </c>
      <c r="H55" s="2"/>
      <c r="I55" s="2"/>
      <c r="J55" s="374"/>
      <c r="K55" s="374"/>
      <c r="L55" s="374"/>
      <c r="M55" s="374"/>
      <c r="N55" s="374"/>
      <c r="O55" s="374"/>
      <c r="P55" s="374"/>
      <c r="Q55" s="2"/>
      <c r="R55" s="2"/>
      <c r="S55" s="2"/>
      <c r="T55" s="2"/>
      <c r="U55" s="2"/>
      <c r="V55" s="2"/>
      <c r="W55" s="2"/>
      <c r="X55" s="2"/>
      <c r="Y55" s="2"/>
    </row>
    <row r="56" spans="1:25" ht="15.75" x14ac:dyDescent="0.25">
      <c r="A56" s="53" t="s">
        <v>56</v>
      </c>
      <c r="B56" s="94" t="str">
        <f t="shared" si="5"/>
        <v>3</v>
      </c>
      <c r="C56" s="325">
        <v>1</v>
      </c>
      <c r="D56" s="22" t="s">
        <v>13</v>
      </c>
      <c r="E56" s="13" t="str">
        <f t="shared" si="6"/>
        <v>15 HORAS</v>
      </c>
      <c r="F56" s="14" t="s">
        <v>17</v>
      </c>
      <c r="G56" s="239">
        <f>+IF(F56="","",VLOOKUP(F56,$H$140:I$192,2,FALSE))</f>
        <v>443323</v>
      </c>
      <c r="H56" s="2"/>
      <c r="I56" s="2"/>
      <c r="J56" s="374"/>
      <c r="K56" s="374"/>
      <c r="L56" s="374"/>
      <c r="M56" s="374"/>
      <c r="N56" s="374"/>
      <c r="O56" s="374"/>
      <c r="P56" s="374"/>
      <c r="Q56" s="2"/>
      <c r="R56" s="2"/>
      <c r="S56" s="2"/>
      <c r="T56" s="2"/>
      <c r="U56" s="2"/>
      <c r="V56" s="2"/>
      <c r="W56" s="2"/>
      <c r="X56" s="2"/>
      <c r="Y56" s="2"/>
    </row>
    <row r="57" spans="1:25" ht="15.75" x14ac:dyDescent="0.25">
      <c r="A57" s="53" t="s">
        <v>57</v>
      </c>
      <c r="B57" s="94" t="str">
        <f t="shared" si="5"/>
        <v>3</v>
      </c>
      <c r="C57" s="325">
        <v>1</v>
      </c>
      <c r="D57" s="22" t="s">
        <v>13</v>
      </c>
      <c r="E57" s="13" t="str">
        <f t="shared" si="6"/>
        <v>15 HORAS</v>
      </c>
      <c r="F57" s="14" t="s">
        <v>17</v>
      </c>
      <c r="G57" s="239">
        <f>+IF(F57="","",VLOOKUP(F57,$H$140:I$192,2,FALSE))</f>
        <v>443323</v>
      </c>
      <c r="H57" s="2"/>
      <c r="I57" s="2"/>
      <c r="J57" s="374"/>
      <c r="K57" s="374"/>
      <c r="L57" s="374"/>
      <c r="M57" s="374"/>
      <c r="N57" s="374"/>
      <c r="O57" s="374"/>
      <c r="P57" s="374"/>
      <c r="Q57" s="2"/>
      <c r="R57" s="2"/>
      <c r="S57" s="2"/>
      <c r="T57" s="2"/>
      <c r="U57" s="2"/>
      <c r="V57" s="2"/>
      <c r="W57" s="2"/>
      <c r="X57" s="2"/>
      <c r="Y57" s="2"/>
    </row>
    <row r="58" spans="1:25" ht="15.75" x14ac:dyDescent="0.25">
      <c r="A58" s="53" t="s">
        <v>253</v>
      </c>
      <c r="B58" s="94" t="str">
        <f t="shared" si="5"/>
        <v>3</v>
      </c>
      <c r="C58" s="325">
        <v>1</v>
      </c>
      <c r="D58" s="22" t="s">
        <v>13</v>
      </c>
      <c r="E58" s="13" t="str">
        <f t="shared" si="6"/>
        <v>15 HORAS</v>
      </c>
      <c r="F58" s="14" t="s">
        <v>17</v>
      </c>
      <c r="G58" s="239">
        <f>+IF(F58="","",VLOOKUP(F58,$H$140:I$192,2,FALSE))</f>
        <v>443323</v>
      </c>
      <c r="H58" s="2"/>
      <c r="I58" s="2"/>
      <c r="J58" s="374"/>
      <c r="K58" s="374"/>
      <c r="L58" s="374"/>
      <c r="M58" s="374"/>
      <c r="N58" s="374"/>
      <c r="O58" s="374"/>
      <c r="P58" s="374"/>
      <c r="Q58" s="2"/>
      <c r="R58" s="2"/>
      <c r="S58" s="2"/>
      <c r="T58" s="2"/>
      <c r="U58" s="2"/>
      <c r="V58" s="2"/>
      <c r="W58" s="2"/>
      <c r="X58" s="2"/>
      <c r="Y58" s="2"/>
    </row>
    <row r="59" spans="1:25" ht="15.75" x14ac:dyDescent="0.25">
      <c r="A59" s="96" t="s">
        <v>254</v>
      </c>
      <c r="B59" s="94" t="str">
        <f t="shared" si="5"/>
        <v>3</v>
      </c>
      <c r="C59" s="325">
        <v>1</v>
      </c>
      <c r="D59" s="22" t="s">
        <v>13</v>
      </c>
      <c r="E59" s="13" t="str">
        <f t="shared" si="6"/>
        <v>15 HORAS</v>
      </c>
      <c r="F59" s="14" t="s">
        <v>17</v>
      </c>
      <c r="G59" s="239">
        <f>+IF(F59="","",VLOOKUP(F59,$H$140:I$192,2,FALSE))</f>
        <v>443323</v>
      </c>
      <c r="H59" s="2"/>
      <c r="I59" s="2"/>
      <c r="J59" s="374"/>
      <c r="K59" s="374"/>
      <c r="L59" s="374"/>
      <c r="M59" s="374"/>
      <c r="N59" s="374"/>
      <c r="O59" s="374"/>
      <c r="P59" s="374"/>
      <c r="Q59" s="2"/>
      <c r="R59" s="2"/>
      <c r="S59" s="2"/>
      <c r="T59" s="2"/>
      <c r="U59" s="2"/>
      <c r="V59" s="2"/>
      <c r="W59" s="2"/>
      <c r="X59" s="2"/>
      <c r="Y59" s="2"/>
    </row>
    <row r="60" spans="1:25" ht="15.75" x14ac:dyDescent="0.25">
      <c r="A60" s="96" t="s">
        <v>255</v>
      </c>
      <c r="B60" s="94" t="str">
        <f t="shared" si="5"/>
        <v>3</v>
      </c>
      <c r="C60" s="325">
        <v>1</v>
      </c>
      <c r="D60" s="22" t="s">
        <v>13</v>
      </c>
      <c r="E60" s="13" t="str">
        <f t="shared" si="6"/>
        <v>15 HORAS</v>
      </c>
      <c r="F60" s="14" t="s">
        <v>17</v>
      </c>
      <c r="G60" s="239">
        <f>+IF(F60="","",VLOOKUP(F60,$H$140:I$192,2,FALSE))</f>
        <v>443323</v>
      </c>
      <c r="H60" s="2"/>
      <c r="I60" s="2"/>
      <c r="J60" s="374"/>
      <c r="K60" s="374"/>
      <c r="L60" s="374"/>
      <c r="M60" s="374"/>
      <c r="N60" s="374"/>
      <c r="O60" s="374"/>
      <c r="P60" s="374"/>
      <c r="Q60" s="2"/>
      <c r="R60" s="2"/>
      <c r="S60" s="2"/>
      <c r="T60" s="2"/>
      <c r="U60" s="2"/>
      <c r="V60" s="2"/>
      <c r="W60" s="2"/>
      <c r="X60" s="2"/>
      <c r="Y60" s="2"/>
    </row>
    <row r="61" spans="1:25" ht="15.75" x14ac:dyDescent="0.25">
      <c r="A61" s="96" t="s">
        <v>256</v>
      </c>
      <c r="B61" s="94" t="str">
        <f t="shared" si="5"/>
        <v>3</v>
      </c>
      <c r="C61" s="325">
        <v>1</v>
      </c>
      <c r="D61" s="22" t="s">
        <v>13</v>
      </c>
      <c r="E61" s="13" t="str">
        <f t="shared" si="6"/>
        <v>15 HORAS</v>
      </c>
      <c r="F61" s="14" t="s">
        <v>17</v>
      </c>
      <c r="G61" s="239">
        <f>+IF(F61="","",VLOOKUP(F61,$H$140:I$192,2,FALSE))</f>
        <v>443323</v>
      </c>
      <c r="H61" s="2"/>
      <c r="I61" s="2"/>
      <c r="J61" s="374"/>
      <c r="K61" s="374"/>
      <c r="L61" s="374"/>
      <c r="M61" s="374"/>
      <c r="N61" s="374"/>
      <c r="O61" s="374"/>
      <c r="P61" s="374"/>
      <c r="Q61" s="2"/>
      <c r="R61" s="2"/>
      <c r="S61" s="2"/>
      <c r="T61" s="2"/>
      <c r="U61" s="2"/>
      <c r="V61" s="2"/>
      <c r="W61" s="2"/>
      <c r="X61" s="2"/>
      <c r="Y61" s="2"/>
    </row>
    <row r="62" spans="1:25" ht="15.75" x14ac:dyDescent="0.25">
      <c r="A62" s="96" t="s">
        <v>257</v>
      </c>
      <c r="B62" s="94" t="str">
        <f t="shared" si="5"/>
        <v>3</v>
      </c>
      <c r="C62" s="325">
        <v>1</v>
      </c>
      <c r="D62" s="22" t="s">
        <v>13</v>
      </c>
      <c r="E62" s="13" t="str">
        <f t="shared" si="6"/>
        <v>15 HORAS</v>
      </c>
      <c r="F62" s="14" t="s">
        <v>17</v>
      </c>
      <c r="G62" s="239">
        <f>+IF(F62="","",VLOOKUP(F62,$H$140:I$192,2,FALSE))</f>
        <v>443323</v>
      </c>
      <c r="H62" s="2"/>
      <c r="I62" s="2"/>
      <c r="J62" s="374"/>
      <c r="K62" s="374"/>
      <c r="L62" s="374"/>
      <c r="M62" s="374"/>
      <c r="N62" s="374"/>
      <c r="O62" s="374"/>
      <c r="P62" s="374"/>
      <c r="Q62" s="2"/>
      <c r="R62" s="2"/>
      <c r="S62" s="2"/>
      <c r="T62" s="2"/>
      <c r="U62" s="2"/>
      <c r="V62" s="2"/>
      <c r="W62" s="2"/>
      <c r="X62" s="2"/>
      <c r="Y62" s="2"/>
    </row>
    <row r="63" spans="1:25" ht="15.75" x14ac:dyDescent="0.25">
      <c r="A63" s="95" t="s">
        <v>58</v>
      </c>
      <c r="B63" s="94" t="str">
        <f t="shared" si="5"/>
        <v>3</v>
      </c>
      <c r="C63" s="325">
        <v>1</v>
      </c>
      <c r="D63" s="22" t="s">
        <v>13</v>
      </c>
      <c r="E63" s="13" t="str">
        <f t="shared" si="6"/>
        <v>15 HORAS</v>
      </c>
      <c r="F63" s="14" t="s">
        <v>17</v>
      </c>
      <c r="G63" s="239">
        <f>+IF(F63="","",VLOOKUP(F63,$H$140:I$192,2,FALSE))</f>
        <v>443323</v>
      </c>
      <c r="H63" s="2"/>
      <c r="I63" s="2"/>
      <c r="J63" s="374"/>
      <c r="K63" s="374"/>
      <c r="L63" s="374"/>
      <c r="M63" s="374"/>
      <c r="N63" s="374"/>
      <c r="O63" s="374"/>
      <c r="P63" s="374"/>
      <c r="Q63" s="2"/>
      <c r="R63" s="2"/>
      <c r="S63" s="2"/>
      <c r="T63" s="2"/>
      <c r="U63" s="2"/>
      <c r="V63" s="2"/>
      <c r="W63" s="2"/>
      <c r="X63" s="2"/>
      <c r="Y63" s="2"/>
    </row>
    <row r="64" spans="1:25" ht="15.75" x14ac:dyDescent="0.25">
      <c r="A64" s="95" t="s">
        <v>59</v>
      </c>
      <c r="B64" s="94" t="str">
        <f t="shared" si="5"/>
        <v>3</v>
      </c>
      <c r="C64" s="325">
        <v>1</v>
      </c>
      <c r="D64" s="22" t="s">
        <v>13</v>
      </c>
      <c r="E64" s="13" t="str">
        <f t="shared" si="6"/>
        <v>15 HORAS</v>
      </c>
      <c r="F64" s="14" t="s">
        <v>17</v>
      </c>
      <c r="G64" s="239">
        <f>+IF(F64="","",VLOOKUP(F64,$H$140:I$192,2,FALSE))</f>
        <v>443323</v>
      </c>
      <c r="H64" s="2"/>
      <c r="I64" s="2"/>
      <c r="J64" s="374"/>
      <c r="K64" s="374"/>
      <c r="L64" s="374"/>
      <c r="M64" s="374"/>
      <c r="N64" s="374"/>
      <c r="O64" s="374"/>
      <c r="P64" s="374"/>
      <c r="Q64" s="2"/>
      <c r="R64" s="2"/>
      <c r="S64" s="2"/>
      <c r="T64" s="2"/>
      <c r="U64" s="2"/>
      <c r="V64" s="2"/>
      <c r="W64" s="2"/>
      <c r="X64" s="2"/>
      <c r="Y64" s="2"/>
    </row>
    <row r="65" spans="1:31" ht="15.75" x14ac:dyDescent="0.25">
      <c r="A65" s="93"/>
      <c r="B65" s="16"/>
      <c r="C65" s="325"/>
      <c r="D65" s="97"/>
      <c r="E65" s="14"/>
      <c r="F65" s="14"/>
      <c r="G65" s="30"/>
      <c r="H65" s="2"/>
      <c r="I65" s="2"/>
      <c r="J65" s="374"/>
      <c r="K65" s="374"/>
      <c r="L65" s="374"/>
      <c r="M65" s="374"/>
      <c r="N65" s="374"/>
      <c r="O65" s="374"/>
      <c r="P65" s="374"/>
      <c r="Q65" s="2"/>
      <c r="R65" s="2"/>
      <c r="S65" s="2"/>
      <c r="T65" s="2"/>
      <c r="U65" s="2"/>
      <c r="V65" s="2"/>
      <c r="W65" s="2"/>
      <c r="X65" s="2"/>
      <c r="Y65" s="2"/>
    </row>
    <row r="66" spans="1:31" ht="15.75" x14ac:dyDescent="0.2">
      <c r="A66" s="93" t="s">
        <v>42</v>
      </c>
      <c r="B66" s="61">
        <f>B47+B48+B49+B50+B51+B52+B55+B56+B57+B58+B59+B60+B61+B62+B63+B64</f>
        <v>30</v>
      </c>
      <c r="C66" s="62">
        <f>SUM(C47:C52,C55:C65)</f>
        <v>10</v>
      </c>
      <c r="D66" s="62"/>
      <c r="E66" s="98"/>
      <c r="F66" s="62"/>
      <c r="G66" s="44">
        <f>SUM(G47:G52,G55:G65)</f>
        <v>4433230</v>
      </c>
      <c r="H66" s="2"/>
      <c r="I66" s="2"/>
      <c r="J66" s="374"/>
      <c r="K66" s="374"/>
      <c r="L66" s="374"/>
      <c r="M66" s="374"/>
      <c r="N66" s="374"/>
      <c r="O66" s="374"/>
      <c r="P66" s="374"/>
      <c r="Q66" s="2"/>
      <c r="R66" s="2"/>
      <c r="S66" s="2"/>
      <c r="T66" s="2"/>
      <c r="U66" s="2"/>
      <c r="V66" s="2"/>
      <c r="W66" s="2"/>
      <c r="X66" s="2"/>
      <c r="Y66" s="2"/>
    </row>
    <row r="67" spans="1:31" ht="15" x14ac:dyDescent="0.2">
      <c r="A67" s="2"/>
      <c r="B67" s="2"/>
      <c r="C67" s="2"/>
      <c r="D67" s="2"/>
      <c r="E67" s="2"/>
      <c r="F67" s="2"/>
      <c r="G67" s="2"/>
      <c r="H67" s="2"/>
      <c r="I67" s="2"/>
      <c r="J67" s="2"/>
      <c r="K67" s="2"/>
      <c r="L67" s="2"/>
      <c r="M67" s="2"/>
      <c r="N67" s="2"/>
      <c r="O67" s="2"/>
      <c r="P67" s="2"/>
      <c r="Q67" s="2"/>
      <c r="R67" s="2"/>
      <c r="S67" s="2"/>
      <c r="T67" s="2"/>
      <c r="U67" s="2"/>
      <c r="V67" s="2"/>
      <c r="W67" s="2"/>
      <c r="X67" s="2"/>
      <c r="Y67" s="2"/>
    </row>
    <row r="68" spans="1:31" ht="15" x14ac:dyDescent="0.2">
      <c r="A68" s="74" t="s">
        <v>45</v>
      </c>
      <c r="B68" s="99">
        <f>B66+B41+B23</f>
        <v>83</v>
      </c>
      <c r="C68" s="99">
        <f>C66+C41+C23</f>
        <v>25</v>
      </c>
      <c r="D68" s="74"/>
      <c r="E68" s="2"/>
      <c r="F68" s="2"/>
      <c r="G68" s="44">
        <f>SUM(G23,G41,G66)</f>
        <v>12725754</v>
      </c>
      <c r="H68" s="2"/>
      <c r="I68" s="2"/>
      <c r="J68" s="2"/>
      <c r="K68" s="2"/>
      <c r="L68" s="2"/>
      <c r="M68" s="2"/>
      <c r="N68" s="2"/>
      <c r="O68" s="2"/>
      <c r="P68" s="2"/>
      <c r="Q68" s="2"/>
      <c r="R68" s="2"/>
      <c r="S68" s="2"/>
      <c r="T68" s="2"/>
      <c r="U68" s="2"/>
      <c r="V68" s="2"/>
      <c r="W68" s="2"/>
      <c r="X68" s="2"/>
      <c r="Y68" s="2"/>
    </row>
    <row r="69" spans="1:31" ht="15.75" x14ac:dyDescent="0.25">
      <c r="A69" s="2"/>
      <c r="B69" s="2"/>
      <c r="C69" s="2"/>
      <c r="D69" s="2"/>
      <c r="E69" s="2"/>
      <c r="F69" s="2"/>
      <c r="G69" s="2"/>
      <c r="H69" s="2"/>
      <c r="I69" s="2"/>
      <c r="J69" s="100" t="s">
        <v>60</v>
      </c>
      <c r="K69" s="101">
        <f>K26+B68+T29+AB26</f>
        <v>113</v>
      </c>
      <c r="L69" s="102"/>
      <c r="M69" s="103"/>
      <c r="N69" s="103"/>
      <c r="O69" s="103"/>
      <c r="P69" s="103"/>
      <c r="Q69" s="2"/>
      <c r="R69" s="2"/>
      <c r="S69" s="2"/>
      <c r="T69" s="2"/>
      <c r="U69" s="2"/>
      <c r="V69" s="2"/>
      <c r="W69" s="2"/>
      <c r="X69" s="2"/>
      <c r="Y69" s="2"/>
    </row>
    <row r="70" spans="1:31" ht="16.5" thickBot="1" x14ac:dyDescent="0.3">
      <c r="A70" s="2"/>
      <c r="B70" s="2"/>
      <c r="C70" s="2"/>
      <c r="D70" s="2"/>
      <c r="E70" s="2"/>
      <c r="F70" s="2"/>
      <c r="G70" s="2"/>
      <c r="H70" s="2"/>
      <c r="I70" s="2"/>
      <c r="J70" s="100" t="s">
        <v>61</v>
      </c>
      <c r="K70" s="104">
        <f>L26+C68+U29+AC26</f>
        <v>34</v>
      </c>
      <c r="L70" s="2"/>
      <c r="M70" s="105" t="s">
        <v>0</v>
      </c>
      <c r="N70" s="105" t="s">
        <v>43</v>
      </c>
      <c r="O70" s="105" t="s">
        <v>54</v>
      </c>
      <c r="P70" s="106"/>
      <c r="R70" s="107"/>
      <c r="T70" s="2"/>
      <c r="U70" s="2"/>
      <c r="V70" s="2"/>
      <c r="W70" s="2"/>
      <c r="X70" s="2"/>
      <c r="Y70" s="2"/>
    </row>
    <row r="71" spans="1:31" ht="27" customHeight="1" thickBot="1" x14ac:dyDescent="0.3">
      <c r="A71" s="2"/>
      <c r="B71" s="2"/>
      <c r="C71" s="2"/>
      <c r="D71" s="2"/>
      <c r="E71" s="2"/>
      <c r="F71" s="2"/>
      <c r="G71" s="2"/>
      <c r="H71" s="2"/>
      <c r="I71" s="2"/>
      <c r="J71" s="108" t="s">
        <v>62</v>
      </c>
      <c r="K71" s="377">
        <f>SUM(G68,P26,Y29)</f>
        <v>18209468</v>
      </c>
      <c r="L71" s="378"/>
      <c r="M71" s="109">
        <f>SUM(G4:G12,G16:G22,Y20:Y21)</f>
        <v>5137988</v>
      </c>
      <c r="N71" s="110">
        <f>SUM(G27:G32,G35:G40,P4:P15,P18:P25,Y4:Y7,Y15:Y16,Y22:Y23)</f>
        <v>8265016</v>
      </c>
      <c r="O71" s="109">
        <f>SUM(G47:G52,G55:G64,Y24)</f>
        <v>4806464</v>
      </c>
      <c r="P71" s="111">
        <f>SUM(M71:O71)</f>
        <v>18209468</v>
      </c>
      <c r="R71" s="112"/>
      <c r="S71" s="113"/>
      <c r="T71" s="2"/>
      <c r="U71" s="2"/>
      <c r="V71" s="2"/>
      <c r="W71" s="2"/>
      <c r="X71" s="2"/>
      <c r="Y71" s="2"/>
    </row>
    <row r="72" spans="1:31" ht="13.5" thickBot="1" x14ac:dyDescent="0.25"/>
    <row r="73" spans="1:31" ht="36" customHeight="1" thickBot="1" x14ac:dyDescent="0.25">
      <c r="A73" s="365" t="s">
        <v>63</v>
      </c>
      <c r="B73" s="366"/>
      <c r="C73" s="366"/>
      <c r="D73" s="366"/>
      <c r="E73" s="366"/>
      <c r="F73" s="366"/>
      <c r="G73" s="366"/>
      <c r="H73" s="366"/>
      <c r="I73" s="366"/>
      <c r="J73" s="366"/>
      <c r="K73" s="366"/>
      <c r="L73" s="366"/>
      <c r="M73" s="366"/>
      <c r="N73" s="366"/>
      <c r="O73" s="366"/>
      <c r="P73" s="366"/>
      <c r="Q73" s="366"/>
      <c r="R73" s="366"/>
      <c r="S73" s="366"/>
      <c r="T73" s="366"/>
      <c r="U73" s="366"/>
      <c r="V73" s="366"/>
      <c r="W73" s="366"/>
      <c r="X73" s="366"/>
      <c r="Y73" s="366"/>
      <c r="Z73" s="366"/>
      <c r="AA73" s="366"/>
      <c r="AB73" s="366"/>
      <c r="AC73" s="366"/>
      <c r="AD73" s="366"/>
      <c r="AE73" s="367"/>
    </row>
    <row r="74" spans="1:31" ht="286.5" customHeight="1" x14ac:dyDescent="0.2">
      <c r="A74" s="359" t="s">
        <v>348</v>
      </c>
      <c r="B74" s="360"/>
      <c r="C74" s="360"/>
      <c r="D74" s="360"/>
      <c r="E74" s="360"/>
      <c r="F74" s="360"/>
      <c r="G74" s="360"/>
      <c r="H74" s="360"/>
      <c r="I74" s="360"/>
      <c r="J74" s="360"/>
      <c r="K74" s="360"/>
      <c r="L74" s="360"/>
      <c r="M74" s="360"/>
      <c r="N74" s="360"/>
      <c r="O74" s="360"/>
      <c r="P74" s="360"/>
      <c r="Q74" s="360"/>
      <c r="R74" s="360"/>
      <c r="S74" s="360"/>
      <c r="T74" s="360"/>
      <c r="U74" s="360"/>
      <c r="V74" s="360"/>
      <c r="W74" s="360"/>
      <c r="X74" s="360"/>
      <c r="Y74" s="360"/>
      <c r="Z74" s="360"/>
      <c r="AA74" s="360"/>
      <c r="AB74" s="360"/>
      <c r="AC74" s="360"/>
      <c r="AD74" s="360"/>
      <c r="AE74" s="360"/>
    </row>
    <row r="75" spans="1:31" ht="222.75" customHeight="1" x14ac:dyDescent="0.2">
      <c r="A75" s="361"/>
      <c r="B75" s="360"/>
      <c r="C75" s="360"/>
      <c r="D75" s="360"/>
      <c r="E75" s="360"/>
      <c r="F75" s="360"/>
      <c r="G75" s="360"/>
      <c r="H75" s="360"/>
      <c r="I75" s="360"/>
      <c r="J75" s="360"/>
      <c r="K75" s="360"/>
      <c r="L75" s="360"/>
      <c r="M75" s="360"/>
      <c r="N75" s="360"/>
      <c r="O75" s="360"/>
      <c r="P75" s="360"/>
      <c r="Q75" s="360"/>
      <c r="R75" s="360"/>
      <c r="S75" s="360"/>
      <c r="T75" s="360"/>
      <c r="U75" s="360"/>
      <c r="V75" s="360"/>
      <c r="W75" s="360"/>
      <c r="X75" s="360"/>
      <c r="Y75" s="360"/>
      <c r="Z75" s="360"/>
      <c r="AA75" s="360"/>
      <c r="AB75" s="360"/>
      <c r="AC75" s="360"/>
      <c r="AD75" s="360"/>
      <c r="AE75" s="360"/>
    </row>
    <row r="76" spans="1:31" ht="109.5" customHeight="1" x14ac:dyDescent="0.2">
      <c r="A76" s="361"/>
      <c r="B76" s="360"/>
      <c r="C76" s="360"/>
      <c r="D76" s="360"/>
      <c r="E76" s="360"/>
      <c r="F76" s="360"/>
      <c r="G76" s="360"/>
      <c r="H76" s="360"/>
      <c r="I76" s="360"/>
      <c r="J76" s="360"/>
      <c r="K76" s="360"/>
      <c r="L76" s="360"/>
      <c r="M76" s="360"/>
      <c r="N76" s="360"/>
      <c r="O76" s="360"/>
      <c r="P76" s="360"/>
      <c r="Q76" s="360"/>
      <c r="R76" s="360"/>
      <c r="S76" s="360"/>
      <c r="T76" s="360"/>
      <c r="U76" s="360"/>
      <c r="V76" s="360"/>
      <c r="W76" s="360"/>
      <c r="X76" s="360"/>
      <c r="Y76" s="360"/>
      <c r="Z76" s="360"/>
      <c r="AA76" s="360"/>
      <c r="AB76" s="360"/>
      <c r="AC76" s="360"/>
      <c r="AD76" s="360"/>
      <c r="AE76" s="360"/>
    </row>
    <row r="77" spans="1:31" ht="148.5" customHeight="1" x14ac:dyDescent="0.2">
      <c r="A77" s="361"/>
      <c r="B77" s="360"/>
      <c r="C77" s="360"/>
      <c r="D77" s="360"/>
      <c r="E77" s="360"/>
      <c r="F77" s="360"/>
      <c r="G77" s="360"/>
      <c r="H77" s="360"/>
      <c r="I77" s="360"/>
      <c r="J77" s="360"/>
      <c r="K77" s="360"/>
      <c r="L77" s="360"/>
      <c r="M77" s="360"/>
      <c r="N77" s="360"/>
      <c r="O77" s="360"/>
      <c r="P77" s="360"/>
      <c r="Q77" s="360"/>
      <c r="R77" s="360"/>
      <c r="S77" s="360"/>
      <c r="T77" s="360"/>
      <c r="U77" s="360"/>
      <c r="V77" s="360"/>
      <c r="W77" s="360"/>
      <c r="X77" s="360"/>
      <c r="Y77" s="360"/>
      <c r="Z77" s="360"/>
      <c r="AA77" s="360"/>
      <c r="AB77" s="360"/>
      <c r="AC77" s="360"/>
      <c r="AD77" s="360"/>
      <c r="AE77" s="360"/>
    </row>
    <row r="78" spans="1:31" ht="90" customHeight="1" x14ac:dyDescent="0.2">
      <c r="A78" s="361"/>
      <c r="B78" s="360"/>
      <c r="C78" s="360"/>
      <c r="D78" s="360"/>
      <c r="E78" s="360"/>
      <c r="F78" s="360"/>
      <c r="G78" s="360"/>
      <c r="H78" s="360"/>
      <c r="I78" s="360"/>
      <c r="J78" s="360"/>
      <c r="K78" s="360"/>
      <c r="L78" s="360"/>
      <c r="M78" s="360"/>
      <c r="N78" s="360"/>
      <c r="O78" s="360"/>
      <c r="P78" s="360"/>
      <c r="Q78" s="360"/>
      <c r="R78" s="360"/>
      <c r="S78" s="360"/>
      <c r="T78" s="360"/>
      <c r="U78" s="360"/>
      <c r="V78" s="360"/>
      <c r="W78" s="360"/>
      <c r="X78" s="360"/>
      <c r="Y78" s="360"/>
      <c r="Z78" s="360"/>
      <c r="AA78" s="360"/>
      <c r="AB78" s="360"/>
      <c r="AC78" s="360"/>
      <c r="AD78" s="360"/>
      <c r="AE78" s="360"/>
    </row>
    <row r="79" spans="1:31" ht="156" customHeight="1" x14ac:dyDescent="0.2">
      <c r="A79" s="361"/>
      <c r="B79" s="360"/>
      <c r="C79" s="360"/>
      <c r="D79" s="360"/>
      <c r="E79" s="360"/>
      <c r="F79" s="360"/>
      <c r="G79" s="360"/>
      <c r="H79" s="360"/>
      <c r="I79" s="360"/>
      <c r="J79" s="360"/>
      <c r="K79" s="360"/>
      <c r="L79" s="360"/>
      <c r="M79" s="360"/>
      <c r="N79" s="360"/>
      <c r="O79" s="360"/>
      <c r="P79" s="360"/>
      <c r="Q79" s="360"/>
      <c r="R79" s="360"/>
      <c r="S79" s="360"/>
      <c r="T79" s="360"/>
      <c r="U79" s="360"/>
      <c r="V79" s="360"/>
      <c r="W79" s="360"/>
      <c r="X79" s="360"/>
      <c r="Y79" s="360"/>
      <c r="Z79" s="360"/>
      <c r="AA79" s="360"/>
      <c r="AB79" s="360"/>
      <c r="AC79" s="360"/>
      <c r="AD79" s="360"/>
      <c r="AE79" s="360"/>
    </row>
    <row r="80" spans="1:31" ht="258" customHeight="1" x14ac:dyDescent="0.2">
      <c r="A80" s="361"/>
      <c r="B80" s="360"/>
      <c r="C80" s="360"/>
      <c r="D80" s="360"/>
      <c r="E80" s="360"/>
      <c r="F80" s="360"/>
      <c r="G80" s="360"/>
      <c r="H80" s="360"/>
      <c r="I80" s="360"/>
      <c r="J80" s="360"/>
      <c r="K80" s="360"/>
      <c r="L80" s="360"/>
      <c r="M80" s="360"/>
      <c r="N80" s="360"/>
      <c r="O80" s="360"/>
      <c r="P80" s="360"/>
      <c r="Q80" s="360"/>
      <c r="R80" s="360"/>
      <c r="S80" s="360"/>
      <c r="T80" s="360"/>
      <c r="U80" s="360"/>
      <c r="V80" s="360"/>
      <c r="W80" s="360"/>
      <c r="X80" s="360"/>
      <c r="Y80" s="360"/>
      <c r="Z80" s="360"/>
      <c r="AA80" s="360"/>
      <c r="AB80" s="360"/>
      <c r="AC80" s="360"/>
      <c r="AD80" s="360"/>
      <c r="AE80" s="360"/>
    </row>
    <row r="81" spans="1:21" ht="18.75" x14ac:dyDescent="0.2">
      <c r="S81" s="114"/>
      <c r="T81" s="115"/>
      <c r="U81" s="114"/>
    </row>
    <row r="82" spans="1:21" ht="18.75" x14ac:dyDescent="0.2">
      <c r="S82" s="114"/>
      <c r="T82" s="115"/>
      <c r="U82" s="114"/>
    </row>
    <row r="83" spans="1:21" ht="18.75" x14ac:dyDescent="0.2">
      <c r="A83" s="362"/>
      <c r="S83" s="114"/>
      <c r="T83" s="115"/>
      <c r="U83" s="114"/>
    </row>
    <row r="84" spans="1:21" ht="18.75" x14ac:dyDescent="0.2">
      <c r="A84" s="362"/>
      <c r="S84" s="114"/>
      <c r="T84" s="115"/>
      <c r="U84" s="114"/>
    </row>
    <row r="85" spans="1:21" ht="18.75" x14ac:dyDescent="0.2">
      <c r="A85" s="362"/>
      <c r="S85" s="114"/>
      <c r="T85" s="115"/>
      <c r="U85" s="114"/>
    </row>
    <row r="86" spans="1:21" ht="18.75" x14ac:dyDescent="0.25">
      <c r="A86" s="117"/>
      <c r="S86" s="114"/>
      <c r="T86" s="115"/>
      <c r="U86" s="114"/>
    </row>
    <row r="87" spans="1:21" ht="18.75" x14ac:dyDescent="0.25">
      <c r="A87" s="117"/>
      <c r="S87" s="114"/>
      <c r="T87" s="115"/>
      <c r="U87" s="114"/>
    </row>
    <row r="88" spans="1:21" ht="18.75" x14ac:dyDescent="0.25">
      <c r="A88" s="116"/>
      <c r="S88" s="114"/>
      <c r="T88" s="115"/>
      <c r="U88" s="114"/>
    </row>
    <row r="89" spans="1:21" ht="18.75" x14ac:dyDescent="0.2">
      <c r="A89" s="362" t="s">
        <v>64</v>
      </c>
      <c r="B89" s="364"/>
      <c r="S89" s="114"/>
      <c r="T89" s="115"/>
      <c r="U89" s="114"/>
    </row>
    <row r="90" spans="1:21" ht="18.75" x14ac:dyDescent="0.2">
      <c r="A90" s="363"/>
      <c r="B90" s="364"/>
      <c r="S90" s="114"/>
      <c r="T90" s="115"/>
      <c r="U90" s="114"/>
    </row>
    <row r="91" spans="1:21" ht="18.75" x14ac:dyDescent="0.2">
      <c r="A91" s="363"/>
      <c r="B91" s="364"/>
      <c r="S91" s="114"/>
      <c r="T91" s="115"/>
      <c r="U91" s="114"/>
    </row>
    <row r="92" spans="1:21" ht="18.75" x14ac:dyDescent="0.25">
      <c r="A92" s="117"/>
      <c r="B92" s="118"/>
      <c r="S92" s="114"/>
      <c r="T92" s="115"/>
      <c r="U92" s="114"/>
    </row>
    <row r="93" spans="1:21" ht="12.75" customHeight="1" x14ac:dyDescent="0.25">
      <c r="A93" s="119"/>
    </row>
    <row r="94" spans="1:21" ht="12.75" customHeight="1" x14ac:dyDescent="0.2">
      <c r="A94" s="353" t="s">
        <v>65</v>
      </c>
    </row>
    <row r="95" spans="1:21" ht="12.75" customHeight="1" x14ac:dyDescent="0.2">
      <c r="A95" s="354"/>
    </row>
    <row r="96" spans="1:21" ht="12.75" customHeight="1" x14ac:dyDescent="0.2">
      <c r="A96" s="354"/>
    </row>
    <row r="97" spans="1:1" ht="249.75" customHeight="1" x14ac:dyDescent="0.2">
      <c r="A97" s="120"/>
    </row>
    <row r="98" spans="1:1" x14ac:dyDescent="0.2">
      <c r="A98" s="121"/>
    </row>
    <row r="99" spans="1:1" x14ac:dyDescent="0.2">
      <c r="A99" s="121"/>
    </row>
    <row r="100" spans="1:1" x14ac:dyDescent="0.2">
      <c r="A100" s="121"/>
    </row>
    <row r="101" spans="1:1" x14ac:dyDescent="0.2">
      <c r="A101" s="121"/>
    </row>
    <row r="102" spans="1:1" x14ac:dyDescent="0.2">
      <c r="A102" s="121"/>
    </row>
    <row r="103" spans="1:1" x14ac:dyDescent="0.2">
      <c r="A103" s="121"/>
    </row>
    <row r="104" spans="1:1" x14ac:dyDescent="0.2">
      <c r="A104" s="121"/>
    </row>
    <row r="139" spans="6:14" x14ac:dyDescent="0.2">
      <c r="J139" s="3" t="s">
        <v>66</v>
      </c>
      <c r="K139" s="3" t="s">
        <v>67</v>
      </c>
    </row>
    <row r="140" spans="6:14" s="122" customFormat="1" x14ac:dyDescent="0.2">
      <c r="F140" s="122">
        <v>0</v>
      </c>
      <c r="G140" s="122">
        <v>0</v>
      </c>
      <c r="H140" s="122">
        <v>0</v>
      </c>
      <c r="I140" s="122">
        <v>0</v>
      </c>
      <c r="J140" s="122">
        <v>0</v>
      </c>
      <c r="K140" s="122">
        <v>0</v>
      </c>
      <c r="L140" s="122">
        <v>0</v>
      </c>
      <c r="M140" s="122">
        <v>0</v>
      </c>
      <c r="N140" s="122" t="str">
        <f>+CONCATENATE(G140,"VEHICULO",M140)</f>
        <v>0VEHICULO0</v>
      </c>
    </row>
    <row r="141" spans="6:14" s="122" customFormat="1" x14ac:dyDescent="0.2">
      <c r="F141" s="122" t="s">
        <v>68</v>
      </c>
      <c r="G141" s="122" t="s">
        <v>69</v>
      </c>
      <c r="H141" s="122" t="s">
        <v>14</v>
      </c>
      <c r="I141" s="123">
        <v>582964</v>
      </c>
      <c r="J141" s="123" t="s">
        <v>70</v>
      </c>
      <c r="K141" s="124">
        <v>4</v>
      </c>
      <c r="L141" s="122" t="s">
        <v>71</v>
      </c>
      <c r="M141" s="122" t="s">
        <v>72</v>
      </c>
      <c r="N141" s="122" t="str">
        <f t="shared" ref="N141:N187" si="7">+CONCATENATE(G141,F141)</f>
        <v>1.40m³-15H-4OP</v>
      </c>
    </row>
    <row r="142" spans="6:14" s="122" customFormat="1" x14ac:dyDescent="0.2">
      <c r="F142" s="122" t="s">
        <v>73</v>
      </c>
      <c r="G142" s="122" t="s">
        <v>74</v>
      </c>
      <c r="H142" s="122" t="s">
        <v>21</v>
      </c>
      <c r="I142" s="123">
        <v>514916</v>
      </c>
      <c r="J142" s="123" t="s">
        <v>70</v>
      </c>
      <c r="K142" s="124">
        <v>3</v>
      </c>
      <c r="L142" s="122" t="s">
        <v>75</v>
      </c>
      <c r="M142" s="122" t="s">
        <v>72</v>
      </c>
      <c r="N142" s="122" t="str">
        <f t="shared" si="7"/>
        <v>2.40m³-15H-3OP</v>
      </c>
    </row>
    <row r="143" spans="6:14" s="122" customFormat="1" x14ac:dyDescent="0.2">
      <c r="F143" s="122" t="s">
        <v>76</v>
      </c>
      <c r="G143" s="122" t="s">
        <v>77</v>
      </c>
      <c r="H143" s="122" t="s">
        <v>78</v>
      </c>
      <c r="I143" s="123">
        <v>448638</v>
      </c>
      <c r="J143" s="123" t="s">
        <v>70</v>
      </c>
      <c r="K143" s="124">
        <v>2</v>
      </c>
      <c r="L143" s="122" t="s">
        <v>79</v>
      </c>
      <c r="M143" s="122" t="s">
        <v>72</v>
      </c>
      <c r="N143" s="122" t="str">
        <f t="shared" si="7"/>
        <v>3.40m³-15H-2OP</v>
      </c>
    </row>
    <row r="144" spans="6:14" s="122" customFormat="1" x14ac:dyDescent="0.2">
      <c r="F144" s="122" t="s">
        <v>80</v>
      </c>
      <c r="G144" s="122" t="s">
        <v>81</v>
      </c>
      <c r="H144" s="122" t="s">
        <v>82</v>
      </c>
      <c r="I144" s="123">
        <v>381163</v>
      </c>
      <c r="J144" s="123" t="s">
        <v>70</v>
      </c>
      <c r="K144" s="124">
        <v>1</v>
      </c>
      <c r="L144" s="122" t="s">
        <v>83</v>
      </c>
      <c r="M144" s="122" t="s">
        <v>72</v>
      </c>
      <c r="N144" s="122" t="str">
        <f t="shared" si="7"/>
        <v>4.40m³-15H-1OP</v>
      </c>
    </row>
    <row r="145" spans="6:14" s="122" customFormat="1" x14ac:dyDescent="0.2">
      <c r="F145" s="122" t="s">
        <v>84</v>
      </c>
      <c r="G145" s="122" t="s">
        <v>85</v>
      </c>
      <c r="H145" s="122" t="s">
        <v>86</v>
      </c>
      <c r="I145" s="123">
        <v>321680</v>
      </c>
      <c r="J145" s="123" t="s">
        <v>70</v>
      </c>
      <c r="K145" s="124">
        <v>0</v>
      </c>
      <c r="L145" s="122" t="s">
        <v>87</v>
      </c>
      <c r="M145" s="122" t="s">
        <v>72</v>
      </c>
      <c r="N145" s="122" t="str">
        <f t="shared" si="7"/>
        <v>5.40m³-15H-0OP</v>
      </c>
    </row>
    <row r="146" spans="6:14" s="122" customFormat="1" x14ac:dyDescent="0.2">
      <c r="F146" s="122" t="s">
        <v>88</v>
      </c>
      <c r="G146" s="122" t="s">
        <v>89</v>
      </c>
      <c r="H146" s="122" t="s">
        <v>90</v>
      </c>
      <c r="I146" s="123">
        <v>509192</v>
      </c>
      <c r="J146" s="123" t="s">
        <v>91</v>
      </c>
      <c r="K146" s="124">
        <v>4</v>
      </c>
      <c r="L146" s="122" t="s">
        <v>92</v>
      </c>
      <c r="M146" s="122" t="s">
        <v>72</v>
      </c>
      <c r="N146" s="122" t="str">
        <f t="shared" si="7"/>
        <v>6.40m³-9H-4OP</v>
      </c>
    </row>
    <row r="147" spans="6:14" s="122" customFormat="1" x14ac:dyDescent="0.2">
      <c r="F147" s="122" t="s">
        <v>93</v>
      </c>
      <c r="G147" s="122" t="s">
        <v>94</v>
      </c>
      <c r="H147" s="122" t="s">
        <v>95</v>
      </c>
      <c r="I147" s="123">
        <v>450204</v>
      </c>
      <c r="J147" s="123" t="s">
        <v>91</v>
      </c>
      <c r="K147" s="124">
        <v>3</v>
      </c>
      <c r="L147" s="122" t="s">
        <v>96</v>
      </c>
      <c r="M147" s="122" t="s">
        <v>72</v>
      </c>
      <c r="N147" s="122" t="str">
        <f t="shared" si="7"/>
        <v>7.40m³-9H-3OP</v>
      </c>
    </row>
    <row r="148" spans="6:14" s="122" customFormat="1" x14ac:dyDescent="0.2">
      <c r="F148" s="122" t="s">
        <v>97</v>
      </c>
      <c r="G148" s="122" t="s">
        <v>98</v>
      </c>
      <c r="H148" s="122" t="s">
        <v>99</v>
      </c>
      <c r="I148" s="123">
        <v>392186</v>
      </c>
      <c r="J148" s="123" t="s">
        <v>91</v>
      </c>
      <c r="K148" s="124">
        <v>2</v>
      </c>
      <c r="L148" s="122" t="s">
        <v>100</v>
      </c>
      <c r="M148" s="122" t="s">
        <v>72</v>
      </c>
      <c r="N148" s="122" t="str">
        <f t="shared" si="7"/>
        <v>8.40m³-9H-2OP</v>
      </c>
    </row>
    <row r="149" spans="6:14" s="122" customFormat="1" x14ac:dyDescent="0.2">
      <c r="F149" s="122" t="s">
        <v>101</v>
      </c>
      <c r="G149" s="122" t="s">
        <v>102</v>
      </c>
      <c r="H149" s="122" t="s">
        <v>103</v>
      </c>
      <c r="I149" s="123">
        <v>329397</v>
      </c>
      <c r="J149" s="123" t="s">
        <v>91</v>
      </c>
      <c r="K149" s="124">
        <v>1</v>
      </c>
      <c r="L149" s="122" t="s">
        <v>104</v>
      </c>
      <c r="M149" s="122" t="s">
        <v>72</v>
      </c>
      <c r="N149" s="122" t="str">
        <f t="shared" si="7"/>
        <v>9.40m³-9H-1OP</v>
      </c>
    </row>
    <row r="150" spans="6:14" s="122" customFormat="1" x14ac:dyDescent="0.2">
      <c r="F150" s="122" t="s">
        <v>105</v>
      </c>
      <c r="G150" s="122" t="s">
        <v>106</v>
      </c>
      <c r="H150" s="122" t="s">
        <v>107</v>
      </c>
      <c r="I150" s="123">
        <v>280919</v>
      </c>
      <c r="J150" s="123" t="s">
        <v>91</v>
      </c>
      <c r="K150" s="124">
        <v>0</v>
      </c>
      <c r="L150" s="122" t="s">
        <v>108</v>
      </c>
      <c r="M150" s="122" t="s">
        <v>72</v>
      </c>
      <c r="N150" s="122" t="str">
        <f t="shared" si="7"/>
        <v>10.40m³-9H-0OP</v>
      </c>
    </row>
    <row r="151" spans="6:14" s="122" customFormat="1" x14ac:dyDescent="0.2">
      <c r="F151" s="122" t="s">
        <v>109</v>
      </c>
      <c r="G151" s="122" t="s">
        <v>110</v>
      </c>
      <c r="H151" s="122" t="s">
        <v>111</v>
      </c>
      <c r="I151" s="123">
        <v>420585</v>
      </c>
      <c r="J151" s="123" t="s">
        <v>112</v>
      </c>
      <c r="K151" s="124">
        <v>4</v>
      </c>
      <c r="L151" s="122" t="s">
        <v>113</v>
      </c>
      <c r="M151" s="122" t="s">
        <v>72</v>
      </c>
      <c r="N151" s="122" t="str">
        <f t="shared" si="7"/>
        <v>11.40m³-4H-4OP</v>
      </c>
    </row>
    <row r="152" spans="6:14" s="122" customFormat="1" x14ac:dyDescent="0.2">
      <c r="F152" s="122" t="s">
        <v>114</v>
      </c>
      <c r="G152" s="122" t="s">
        <v>115</v>
      </c>
      <c r="H152" s="122" t="s">
        <v>116</v>
      </c>
      <c r="I152" s="123">
        <v>369327</v>
      </c>
      <c r="J152" s="123" t="s">
        <v>112</v>
      </c>
      <c r="K152" s="124">
        <v>3</v>
      </c>
      <c r="L152" s="122" t="s">
        <v>117</v>
      </c>
      <c r="M152" s="122" t="s">
        <v>72</v>
      </c>
      <c r="N152" s="122" t="str">
        <f t="shared" si="7"/>
        <v>12.40m³-4H-3OP</v>
      </c>
    </row>
    <row r="153" spans="6:14" s="122" customFormat="1" x14ac:dyDescent="0.2">
      <c r="F153" s="122" t="s">
        <v>118</v>
      </c>
      <c r="G153" s="122" t="s">
        <v>119</v>
      </c>
      <c r="H153" s="122" t="s">
        <v>120</v>
      </c>
      <c r="I153" s="123">
        <v>323463</v>
      </c>
      <c r="J153" s="123" t="s">
        <v>112</v>
      </c>
      <c r="K153" s="124">
        <v>2</v>
      </c>
      <c r="L153" s="122" t="s">
        <v>121</v>
      </c>
      <c r="M153" s="122" t="s">
        <v>72</v>
      </c>
      <c r="N153" s="122" t="str">
        <f t="shared" si="7"/>
        <v>13.40m³-4H-2OP</v>
      </c>
    </row>
    <row r="154" spans="6:14" s="122" customFormat="1" x14ac:dyDescent="0.2">
      <c r="F154" s="122" t="s">
        <v>122</v>
      </c>
      <c r="G154" s="122" t="s">
        <v>123</v>
      </c>
      <c r="H154" s="122" t="s">
        <v>124</v>
      </c>
      <c r="I154" s="123">
        <v>270330</v>
      </c>
      <c r="J154" s="123" t="s">
        <v>112</v>
      </c>
      <c r="K154" s="124">
        <v>1</v>
      </c>
      <c r="L154" s="122" t="s">
        <v>125</v>
      </c>
      <c r="M154" s="122" t="s">
        <v>72</v>
      </c>
      <c r="N154" s="122" t="str">
        <f t="shared" si="7"/>
        <v>14.40m³-4H-1OP</v>
      </c>
    </row>
    <row r="155" spans="6:14" s="122" customFormat="1" x14ac:dyDescent="0.2">
      <c r="F155" s="122" t="s">
        <v>126</v>
      </c>
      <c r="G155" s="122" t="s">
        <v>127</v>
      </c>
      <c r="H155" s="122" t="s">
        <v>128</v>
      </c>
      <c r="I155" s="123">
        <v>221709</v>
      </c>
      <c r="J155" s="123" t="s">
        <v>112</v>
      </c>
      <c r="K155" s="124">
        <v>0</v>
      </c>
      <c r="L155" s="122" t="s">
        <v>129</v>
      </c>
      <c r="M155" s="122" t="s">
        <v>72</v>
      </c>
      <c r="N155" s="122" t="str">
        <f t="shared" si="7"/>
        <v>15.40m³-4H-0OP</v>
      </c>
    </row>
    <row r="156" spans="6:14" s="122" customFormat="1" x14ac:dyDescent="0.2">
      <c r="F156" s="122" t="s">
        <v>130</v>
      </c>
      <c r="G156" s="122" t="s">
        <v>131</v>
      </c>
      <c r="H156" s="122" t="s">
        <v>19</v>
      </c>
      <c r="I156" s="123">
        <v>501739</v>
      </c>
      <c r="J156" s="123" t="s">
        <v>70</v>
      </c>
      <c r="K156" s="124">
        <v>4</v>
      </c>
      <c r="L156" s="122" t="s">
        <v>132</v>
      </c>
      <c r="M156" s="122" t="s">
        <v>72</v>
      </c>
      <c r="N156" s="122" t="str">
        <f t="shared" si="7"/>
        <v>16.25m³-15H-4OP</v>
      </c>
    </row>
    <row r="157" spans="6:14" s="122" customFormat="1" x14ac:dyDescent="0.2">
      <c r="F157" s="122" t="s">
        <v>133</v>
      </c>
      <c r="G157" s="122" t="s">
        <v>134</v>
      </c>
      <c r="H157" s="122" t="s">
        <v>17</v>
      </c>
      <c r="I157" s="123">
        <v>443323</v>
      </c>
      <c r="J157" s="123" t="s">
        <v>70</v>
      </c>
      <c r="K157" s="124">
        <v>3</v>
      </c>
      <c r="L157" s="122" t="s">
        <v>135</v>
      </c>
      <c r="M157" s="122" t="s">
        <v>72</v>
      </c>
      <c r="N157" s="122" t="str">
        <f t="shared" si="7"/>
        <v>17.25m³-15H-3OP</v>
      </c>
    </row>
    <row r="158" spans="6:14" s="122" customFormat="1" x14ac:dyDescent="0.2">
      <c r="F158" s="122" t="s">
        <v>136</v>
      </c>
      <c r="G158" s="122" t="s">
        <v>137</v>
      </c>
      <c r="H158" s="122" t="s">
        <v>138</v>
      </c>
      <c r="I158" s="123">
        <v>388652</v>
      </c>
      <c r="J158" s="123" t="s">
        <v>70</v>
      </c>
      <c r="K158" s="124">
        <v>2</v>
      </c>
      <c r="L158" s="122" t="s">
        <v>139</v>
      </c>
      <c r="M158" s="122" t="s">
        <v>72</v>
      </c>
      <c r="N158" s="122" t="str">
        <f t="shared" si="7"/>
        <v>18.25m³-15H-2OP</v>
      </c>
    </row>
    <row r="159" spans="6:14" s="122" customFormat="1" x14ac:dyDescent="0.2">
      <c r="F159" s="122" t="s">
        <v>140</v>
      </c>
      <c r="G159" s="122" t="s">
        <v>141</v>
      </c>
      <c r="H159" s="122" t="s">
        <v>142</v>
      </c>
      <c r="I159" s="123">
        <v>323189</v>
      </c>
      <c r="J159" s="123" t="s">
        <v>70</v>
      </c>
      <c r="K159" s="124">
        <v>1</v>
      </c>
      <c r="L159" s="122" t="s">
        <v>143</v>
      </c>
      <c r="M159" s="122" t="s">
        <v>72</v>
      </c>
      <c r="N159" s="122" t="str">
        <f t="shared" si="7"/>
        <v>19.25m³-15H-1OP</v>
      </c>
    </row>
    <row r="160" spans="6:14" s="122" customFormat="1" x14ac:dyDescent="0.2">
      <c r="F160" s="122" t="s">
        <v>144</v>
      </c>
      <c r="G160" s="122" t="s">
        <v>145</v>
      </c>
      <c r="H160" s="122" t="s">
        <v>146</v>
      </c>
      <c r="I160" s="123">
        <v>256051</v>
      </c>
      <c r="J160" s="123" t="s">
        <v>70</v>
      </c>
      <c r="K160" s="124">
        <v>0</v>
      </c>
      <c r="L160" s="122" t="s">
        <v>147</v>
      </c>
      <c r="M160" s="122" t="s">
        <v>72</v>
      </c>
      <c r="N160" s="122" t="str">
        <f t="shared" si="7"/>
        <v>20.25m³-15H-0OP</v>
      </c>
    </row>
    <row r="161" spans="6:14" s="122" customFormat="1" x14ac:dyDescent="0.2">
      <c r="F161" s="122" t="s">
        <v>148</v>
      </c>
      <c r="G161" s="122" t="s">
        <v>149</v>
      </c>
      <c r="H161" s="122" t="s">
        <v>150</v>
      </c>
      <c r="I161" s="123">
        <v>433978</v>
      </c>
      <c r="J161" s="123" t="s">
        <v>91</v>
      </c>
      <c r="K161" s="124">
        <v>4</v>
      </c>
      <c r="L161" s="122" t="s">
        <v>151</v>
      </c>
      <c r="M161" s="122" t="s">
        <v>72</v>
      </c>
      <c r="N161" s="122" t="str">
        <f t="shared" si="7"/>
        <v>21.25m³-9H-4OP</v>
      </c>
    </row>
    <row r="162" spans="6:14" s="122" customFormat="1" x14ac:dyDescent="0.2">
      <c r="F162" s="122" t="s">
        <v>152</v>
      </c>
      <c r="G162" s="122" t="s">
        <v>153</v>
      </c>
      <c r="H162" s="122" t="s">
        <v>154</v>
      </c>
      <c r="I162" s="123">
        <v>386383</v>
      </c>
      <c r="J162" s="123" t="s">
        <v>91</v>
      </c>
      <c r="K162" s="124">
        <v>3</v>
      </c>
      <c r="L162" s="122" t="s">
        <v>155</v>
      </c>
      <c r="M162" s="122" t="s">
        <v>72</v>
      </c>
      <c r="N162" s="122" t="str">
        <f t="shared" si="7"/>
        <v>22.25m³-9H-3OP</v>
      </c>
    </row>
    <row r="163" spans="6:14" s="122" customFormat="1" x14ac:dyDescent="0.2">
      <c r="F163" s="122" t="s">
        <v>156</v>
      </c>
      <c r="G163" s="122" t="s">
        <v>157</v>
      </c>
      <c r="H163" s="122" t="s">
        <v>158</v>
      </c>
      <c r="I163" s="123">
        <v>345928</v>
      </c>
      <c r="J163" s="123" t="s">
        <v>91</v>
      </c>
      <c r="K163" s="124">
        <v>2</v>
      </c>
      <c r="L163" s="122" t="s">
        <v>159</v>
      </c>
      <c r="M163" s="122" t="s">
        <v>72</v>
      </c>
      <c r="N163" s="122" t="str">
        <f t="shared" si="7"/>
        <v>23.25m³-9H-2OP</v>
      </c>
    </row>
    <row r="164" spans="6:14" s="122" customFormat="1" x14ac:dyDescent="0.2">
      <c r="F164" s="122" t="s">
        <v>160</v>
      </c>
      <c r="G164" s="122" t="s">
        <v>161</v>
      </c>
      <c r="H164" s="122" t="s">
        <v>162</v>
      </c>
      <c r="I164" s="123">
        <v>290841</v>
      </c>
      <c r="J164" s="123" t="s">
        <v>91</v>
      </c>
      <c r="K164" s="124">
        <v>1</v>
      </c>
      <c r="L164" s="122" t="s">
        <v>163</v>
      </c>
      <c r="M164" s="122" t="s">
        <v>72</v>
      </c>
      <c r="N164" s="122" t="str">
        <f t="shared" si="7"/>
        <v>24.25m³-9H-1OP</v>
      </c>
    </row>
    <row r="165" spans="6:14" s="122" customFormat="1" x14ac:dyDescent="0.2">
      <c r="F165" s="122" t="s">
        <v>164</v>
      </c>
      <c r="G165" s="122" t="s">
        <v>165</v>
      </c>
      <c r="H165" s="122" t="s">
        <v>166</v>
      </c>
      <c r="I165" s="123">
        <v>225849</v>
      </c>
      <c r="J165" s="123" t="s">
        <v>91</v>
      </c>
      <c r="K165" s="124">
        <v>0</v>
      </c>
      <c r="L165" s="122" t="s">
        <v>167</v>
      </c>
      <c r="M165" s="122" t="s">
        <v>72</v>
      </c>
      <c r="N165" s="122" t="str">
        <f t="shared" si="7"/>
        <v>25.25m³-9H-0OP</v>
      </c>
    </row>
    <row r="166" spans="6:14" s="122" customFormat="1" x14ac:dyDescent="0.2">
      <c r="F166" s="122" t="s">
        <v>168</v>
      </c>
      <c r="G166" s="122" t="s">
        <v>169</v>
      </c>
      <c r="H166" s="122" t="s">
        <v>170</v>
      </c>
      <c r="I166" s="123">
        <v>374201</v>
      </c>
      <c r="J166" s="123" t="s">
        <v>112</v>
      </c>
      <c r="K166" s="124">
        <v>4</v>
      </c>
      <c r="L166" s="122" t="s">
        <v>171</v>
      </c>
      <c r="M166" s="122" t="s">
        <v>72</v>
      </c>
      <c r="N166" s="122" t="str">
        <f t="shared" si="7"/>
        <v>26.25m³-4H-4OP</v>
      </c>
    </row>
    <row r="167" spans="6:14" s="122" customFormat="1" x14ac:dyDescent="0.2">
      <c r="F167" s="122" t="s">
        <v>172</v>
      </c>
      <c r="G167" s="122" t="s">
        <v>173</v>
      </c>
      <c r="H167" s="122" t="s">
        <v>174</v>
      </c>
      <c r="I167" s="123">
        <v>323876</v>
      </c>
      <c r="J167" s="123" t="s">
        <v>112</v>
      </c>
      <c r="K167" s="124">
        <v>3</v>
      </c>
      <c r="L167" s="122" t="s">
        <v>175</v>
      </c>
      <c r="M167" s="122" t="s">
        <v>72</v>
      </c>
      <c r="N167" s="122" t="str">
        <f t="shared" si="7"/>
        <v>27.25m³-4H-3OP</v>
      </c>
    </row>
    <row r="168" spans="6:14" s="122" customFormat="1" x14ac:dyDescent="0.2">
      <c r="F168" s="122" t="s">
        <v>176</v>
      </c>
      <c r="G168" s="122" t="s">
        <v>177</v>
      </c>
      <c r="H168" s="122" t="s">
        <v>178</v>
      </c>
      <c r="I168" s="123">
        <v>283531</v>
      </c>
      <c r="J168" s="123" t="s">
        <v>112</v>
      </c>
      <c r="K168" s="124">
        <v>2</v>
      </c>
      <c r="L168" s="122" t="s">
        <v>179</v>
      </c>
      <c r="M168" s="122" t="s">
        <v>72</v>
      </c>
      <c r="N168" s="122" t="str">
        <f t="shared" si="7"/>
        <v>28.25m³-4H-2OP</v>
      </c>
    </row>
    <row r="169" spans="6:14" s="122" customFormat="1" x14ac:dyDescent="0.2">
      <c r="F169" s="122" t="s">
        <v>180</v>
      </c>
      <c r="G169" s="122" t="s">
        <v>181</v>
      </c>
      <c r="H169" s="122" t="s">
        <v>182</v>
      </c>
      <c r="I169" s="123">
        <v>236854</v>
      </c>
      <c r="J169" s="123" t="s">
        <v>112</v>
      </c>
      <c r="K169" s="124">
        <v>1</v>
      </c>
      <c r="L169" s="122" t="s">
        <v>183</v>
      </c>
      <c r="M169" s="122" t="s">
        <v>72</v>
      </c>
      <c r="N169" s="122" t="str">
        <f t="shared" si="7"/>
        <v>29.25m³-4H-1OP</v>
      </c>
    </row>
    <row r="170" spans="6:14" s="122" customFormat="1" x14ac:dyDescent="0.2">
      <c r="F170" s="122" t="s">
        <v>184</v>
      </c>
      <c r="G170" s="122" t="s">
        <v>185</v>
      </c>
      <c r="H170" s="122" t="s">
        <v>186</v>
      </c>
      <c r="I170" s="123">
        <v>179940</v>
      </c>
      <c r="J170" s="123" t="s">
        <v>112</v>
      </c>
      <c r="K170" s="124">
        <v>0</v>
      </c>
      <c r="L170" s="122" t="s">
        <v>187</v>
      </c>
      <c r="M170" s="122" t="s">
        <v>72</v>
      </c>
      <c r="N170" s="122" t="str">
        <f t="shared" si="7"/>
        <v>30.25m³-4H-0OP</v>
      </c>
    </row>
    <row r="171" spans="6:14" s="122" customFormat="1" x14ac:dyDescent="0.2">
      <c r="F171" s="122" t="s">
        <v>188</v>
      </c>
      <c r="G171" s="122" t="s">
        <v>189</v>
      </c>
      <c r="H171" s="122" t="s">
        <v>23</v>
      </c>
      <c r="I171" s="123">
        <v>239262</v>
      </c>
      <c r="J171" s="123" t="s">
        <v>70</v>
      </c>
      <c r="K171" s="124">
        <v>0</v>
      </c>
      <c r="L171" s="122" t="s">
        <v>190</v>
      </c>
      <c r="M171" s="122" t="s">
        <v>72</v>
      </c>
      <c r="N171" s="122" t="str">
        <f t="shared" si="7"/>
        <v>31.FURGON-15H</v>
      </c>
    </row>
    <row r="172" spans="6:14" s="122" customFormat="1" x14ac:dyDescent="0.2">
      <c r="F172" s="122" t="s">
        <v>191</v>
      </c>
      <c r="G172" s="122" t="s">
        <v>192</v>
      </c>
      <c r="H172" s="122" t="s">
        <v>193</v>
      </c>
      <c r="I172" s="123">
        <v>214754</v>
      </c>
      <c r="J172" s="123" t="s">
        <v>91</v>
      </c>
      <c r="K172" s="124">
        <v>0</v>
      </c>
      <c r="L172" s="122" t="s">
        <v>194</v>
      </c>
      <c r="M172" s="122" t="s">
        <v>72</v>
      </c>
      <c r="N172" s="122" t="str">
        <f t="shared" si="7"/>
        <v>32.FURGON-9H</v>
      </c>
    </row>
    <row r="173" spans="6:14" s="122" customFormat="1" x14ac:dyDescent="0.2">
      <c r="F173" s="122" t="s">
        <v>195</v>
      </c>
      <c r="G173" s="122" t="s">
        <v>196</v>
      </c>
      <c r="H173" s="122" t="s">
        <v>197</v>
      </c>
      <c r="I173" s="123">
        <v>173120</v>
      </c>
      <c r="J173" s="123" t="s">
        <v>112</v>
      </c>
      <c r="K173" s="124">
        <v>0</v>
      </c>
      <c r="L173" s="122" t="s">
        <v>198</v>
      </c>
      <c r="M173" s="122" t="s">
        <v>72</v>
      </c>
      <c r="N173" s="122" t="str">
        <f t="shared" si="7"/>
        <v>33.FURGON-4H</v>
      </c>
    </row>
    <row r="174" spans="6:14" s="122" customFormat="1" x14ac:dyDescent="0.2">
      <c r="F174" s="122" t="s">
        <v>199</v>
      </c>
      <c r="G174" s="122" t="s">
        <v>200</v>
      </c>
      <c r="H174" s="122" t="s">
        <v>41</v>
      </c>
      <c r="I174" s="123">
        <v>373234</v>
      </c>
      <c r="J174" s="123" t="s">
        <v>70</v>
      </c>
      <c r="K174" s="124">
        <v>0</v>
      </c>
      <c r="L174" s="122" t="s">
        <v>201</v>
      </c>
      <c r="M174" s="122" t="s">
        <v>72</v>
      </c>
      <c r="N174" s="122" t="str">
        <f t="shared" si="7"/>
        <v>34.4X4-15H</v>
      </c>
    </row>
    <row r="175" spans="6:14" s="122" customFormat="1" x14ac:dyDescent="0.2">
      <c r="F175" s="122" t="s">
        <v>202</v>
      </c>
      <c r="G175" s="122" t="s">
        <v>203</v>
      </c>
      <c r="H175" s="122" t="s">
        <v>204</v>
      </c>
      <c r="I175" s="123">
        <v>242399</v>
      </c>
      <c r="J175" s="123" t="s">
        <v>91</v>
      </c>
      <c r="K175" s="124">
        <v>0</v>
      </c>
      <c r="L175" s="122" t="s">
        <v>205</v>
      </c>
      <c r="M175" s="122" t="s">
        <v>72</v>
      </c>
      <c r="N175" s="122" t="str">
        <f t="shared" si="7"/>
        <v>35.4X4-9H</v>
      </c>
    </row>
    <row r="176" spans="6:14" s="122" customFormat="1" x14ac:dyDescent="0.2">
      <c r="F176" s="122" t="s">
        <v>206</v>
      </c>
      <c r="G176" s="122" t="s">
        <v>207</v>
      </c>
      <c r="H176" s="122" t="s">
        <v>208</v>
      </c>
      <c r="I176" s="123">
        <v>195220</v>
      </c>
      <c r="J176" s="123" t="s">
        <v>112</v>
      </c>
      <c r="K176" s="124">
        <v>0</v>
      </c>
      <c r="L176" s="122" t="s">
        <v>209</v>
      </c>
      <c r="M176" s="122" t="s">
        <v>72</v>
      </c>
      <c r="N176" s="122" t="str">
        <f t="shared" si="7"/>
        <v>36.4X4-4H</v>
      </c>
    </row>
    <row r="177" spans="6:14" s="122" customFormat="1" x14ac:dyDescent="0.2">
      <c r="F177" s="122" t="s">
        <v>210</v>
      </c>
      <c r="G177" s="122" t="s">
        <v>211</v>
      </c>
      <c r="H177" s="122" t="s">
        <v>212</v>
      </c>
      <c r="I177" s="123">
        <v>836001</v>
      </c>
      <c r="J177" s="123" t="s">
        <v>70</v>
      </c>
      <c r="K177" s="124">
        <v>0</v>
      </c>
      <c r="L177" s="122" t="s">
        <v>213</v>
      </c>
      <c r="M177" s="122" t="s">
        <v>72</v>
      </c>
      <c r="N177" s="122" t="str">
        <f t="shared" si="7"/>
        <v>37.MONTACARGA-15H</v>
      </c>
    </row>
    <row r="178" spans="6:14" s="122" customFormat="1" x14ac:dyDescent="0.2">
      <c r="F178" s="122" t="s">
        <v>214</v>
      </c>
      <c r="G178" s="122" t="s">
        <v>215</v>
      </c>
      <c r="H178" s="122" t="s">
        <v>216</v>
      </c>
      <c r="I178" s="123">
        <v>144356</v>
      </c>
      <c r="J178" s="123" t="s">
        <v>217</v>
      </c>
      <c r="K178" s="124">
        <v>0</v>
      </c>
      <c r="L178" s="122" t="s">
        <v>218</v>
      </c>
      <c r="M178" s="122" t="s">
        <v>72</v>
      </c>
      <c r="N178" s="122" t="str">
        <f t="shared" si="7"/>
        <v>38.MONTACARGA-1H</v>
      </c>
    </row>
    <row r="179" spans="6:14" s="122" customFormat="1" x14ac:dyDescent="0.2">
      <c r="F179" s="122" t="s">
        <v>219</v>
      </c>
      <c r="G179" s="122" t="s">
        <v>220</v>
      </c>
      <c r="H179" s="122" t="s">
        <v>221</v>
      </c>
      <c r="I179" s="123">
        <v>828620</v>
      </c>
      <c r="J179" s="123" t="s">
        <v>70</v>
      </c>
      <c r="K179" s="124">
        <v>0</v>
      </c>
      <c r="L179" s="122" t="s">
        <v>222</v>
      </c>
      <c r="M179" s="122" t="s">
        <v>72</v>
      </c>
      <c r="N179" s="122" t="str">
        <f t="shared" si="7"/>
        <v>39.GRUA-15H-</v>
      </c>
    </row>
    <row r="180" spans="6:14" s="122" customFormat="1" x14ac:dyDescent="0.2">
      <c r="F180" s="122" t="s">
        <v>223</v>
      </c>
      <c r="G180" s="122" t="s">
        <v>224</v>
      </c>
      <c r="H180" s="122" t="s">
        <v>225</v>
      </c>
      <c r="I180" s="123">
        <v>148058</v>
      </c>
      <c r="J180" s="123" t="s">
        <v>217</v>
      </c>
      <c r="K180" s="124">
        <v>0</v>
      </c>
      <c r="L180" s="122" t="s">
        <v>226</v>
      </c>
      <c r="M180" s="122" t="s">
        <v>72</v>
      </c>
      <c r="N180" s="122" t="str">
        <f t="shared" si="7"/>
        <v>40.GRUA-1H</v>
      </c>
    </row>
    <row r="181" spans="6:14" s="122" customFormat="1" x14ac:dyDescent="0.2">
      <c r="F181" s="122" t="s">
        <v>227</v>
      </c>
      <c r="G181" s="122" t="s">
        <v>228</v>
      </c>
      <c r="H181" s="122" t="s">
        <v>36</v>
      </c>
      <c r="I181" s="123">
        <v>53577</v>
      </c>
      <c r="J181" s="123" t="s">
        <v>217</v>
      </c>
      <c r="K181" s="124">
        <v>0</v>
      </c>
      <c r="L181" s="122" t="s">
        <v>229</v>
      </c>
      <c r="M181" s="122" t="s">
        <v>72</v>
      </c>
      <c r="N181" s="122" t="str">
        <f t="shared" si="7"/>
        <v>41.OPERARIO-8-H</v>
      </c>
    </row>
    <row r="182" spans="6:14" s="122" customFormat="1" x14ac:dyDescent="0.2">
      <c r="F182" s="122" t="s">
        <v>230</v>
      </c>
      <c r="G182" s="122" t="s">
        <v>231</v>
      </c>
      <c r="H182" s="122" t="s">
        <v>232</v>
      </c>
      <c r="I182" s="123">
        <v>41562</v>
      </c>
      <c r="J182" s="123" t="s">
        <v>217</v>
      </c>
      <c r="K182" s="124">
        <v>0</v>
      </c>
      <c r="L182" s="122" t="s">
        <v>233</v>
      </c>
      <c r="M182" s="122" t="s">
        <v>72</v>
      </c>
      <c r="N182" s="122" t="str">
        <f t="shared" si="7"/>
        <v>42.OPERARIO-6-H</v>
      </c>
    </row>
    <row r="183" spans="6:14" s="122" customFormat="1" x14ac:dyDescent="0.2">
      <c r="F183" s="122" t="s">
        <v>234</v>
      </c>
      <c r="G183" s="122" t="s">
        <v>235</v>
      </c>
      <c r="H183" s="122" t="s">
        <v>236</v>
      </c>
      <c r="I183" s="123">
        <v>628232</v>
      </c>
      <c r="N183" s="122" t="str">
        <f t="shared" si="7"/>
        <v>43.BOGOTA-REGION-40m³-</v>
      </c>
    </row>
    <row r="184" spans="6:14" s="122" customFormat="1" x14ac:dyDescent="0.2">
      <c r="F184" s="122" t="s">
        <v>237</v>
      </c>
      <c r="G184" s="122" t="s">
        <v>238</v>
      </c>
      <c r="H184" s="122" t="s">
        <v>239</v>
      </c>
      <c r="I184" s="123">
        <v>562619</v>
      </c>
      <c r="N184" s="122" t="str">
        <f t="shared" si="7"/>
        <v>44.BOGOTA-REGION-25m³-</v>
      </c>
    </row>
    <row r="185" spans="6:14" s="122" customFormat="1" x14ac:dyDescent="0.2">
      <c r="F185" s="122" t="s">
        <v>240</v>
      </c>
      <c r="G185" s="122" t="s">
        <v>241</v>
      </c>
      <c r="H185" s="122" t="s">
        <v>242</v>
      </c>
      <c r="I185" s="123">
        <v>418264</v>
      </c>
      <c r="N185" s="122" t="str">
        <f t="shared" si="7"/>
        <v>45.BOGOTA-REGION-FURGON-</v>
      </c>
    </row>
    <row r="186" spans="6:14" s="122" customFormat="1" x14ac:dyDescent="0.2">
      <c r="F186" s="122" t="s">
        <v>243</v>
      </c>
      <c r="G186" s="122" t="s">
        <v>244</v>
      </c>
      <c r="H186" s="122" t="s">
        <v>245</v>
      </c>
      <c r="I186" s="123">
        <v>288714</v>
      </c>
      <c r="N186" s="122" t="str">
        <f t="shared" si="7"/>
        <v>46.BOGOTA-REGION-4X4</v>
      </c>
    </row>
    <row r="187" spans="6:14" x14ac:dyDescent="0.2">
      <c r="H187" s="122" t="s">
        <v>246</v>
      </c>
      <c r="I187" s="123">
        <f>41562*6</f>
        <v>249372</v>
      </c>
      <c r="J187" s="123" t="s">
        <v>217</v>
      </c>
      <c r="N187" s="3" t="str">
        <f t="shared" si="7"/>
        <v/>
      </c>
    </row>
    <row r="188" spans="6:14" x14ac:dyDescent="0.2">
      <c r="H188" s="122" t="s">
        <v>247</v>
      </c>
      <c r="I188" s="123">
        <f>41562*8</f>
        <v>332496</v>
      </c>
      <c r="J188" s="123" t="s">
        <v>217</v>
      </c>
    </row>
    <row r="189" spans="6:14" x14ac:dyDescent="0.2">
      <c r="H189" s="122" t="s">
        <v>248</v>
      </c>
      <c r="I189" s="123">
        <f>41562*8</f>
        <v>332496</v>
      </c>
      <c r="J189" s="123" t="s">
        <v>217</v>
      </c>
    </row>
    <row r="190" spans="6:14" x14ac:dyDescent="0.2">
      <c r="H190" s="122" t="s">
        <v>249</v>
      </c>
      <c r="I190" s="123">
        <f>53577*10</f>
        <v>535770</v>
      </c>
      <c r="J190" s="123" t="s">
        <v>217</v>
      </c>
    </row>
    <row r="191" spans="6:14" x14ac:dyDescent="0.2">
      <c r="H191" s="122" t="s">
        <v>250</v>
      </c>
      <c r="I191" s="123">
        <f>53577*8</f>
        <v>428616</v>
      </c>
      <c r="J191" s="123" t="s">
        <v>217</v>
      </c>
    </row>
    <row r="192" spans="6:14" x14ac:dyDescent="0.2">
      <c r="H192" s="122" t="s">
        <v>251</v>
      </c>
      <c r="I192" s="123">
        <f>53577*10</f>
        <v>535770</v>
      </c>
      <c r="J192" s="123" t="s">
        <v>217</v>
      </c>
    </row>
  </sheetData>
  <sheetProtection selectLockedCells="1" selectUnlockedCells="1"/>
  <mergeCells count="23">
    <mergeCell ref="R2:Y2"/>
    <mergeCell ref="AA2:AE2"/>
    <mergeCell ref="A53:G53"/>
    <mergeCell ref="K71:L71"/>
    <mergeCell ref="A1:G1"/>
    <mergeCell ref="A2:G2"/>
    <mergeCell ref="I2:P2"/>
    <mergeCell ref="A94:A96"/>
    <mergeCell ref="R13:Y13"/>
    <mergeCell ref="A74:AE80"/>
    <mergeCell ref="A83:A85"/>
    <mergeCell ref="A89:A91"/>
    <mergeCell ref="B89:B91"/>
    <mergeCell ref="A73:AE73"/>
    <mergeCell ref="A14:G14"/>
    <mergeCell ref="I16:P16"/>
    <mergeCell ref="R18:Y18"/>
    <mergeCell ref="A24:G24"/>
    <mergeCell ref="A25:G25"/>
    <mergeCell ref="A33:G33"/>
    <mergeCell ref="A42:G42"/>
    <mergeCell ref="A43:G43"/>
    <mergeCell ref="J47:P66"/>
  </mergeCells>
  <dataValidations count="4">
    <dataValidation type="list" allowBlank="1" showInputMessage="1" showErrorMessage="1" sqref="F40" xr:uid="{AADEDD53-9CE5-CE49-BF75-72AD873C0112}">
      <formula1>$H$140:$H$185</formula1>
    </dataValidation>
    <dataValidation type="list" allowBlank="1" showInputMessage="1" showErrorMessage="1" sqref="O9:O15 O20:O25 F47:F52 F17:F19 F31:F32 X7:X8 F65" xr:uid="{22DDBD4D-7B22-F04C-AA53-B28598967670}">
      <formula1>$H$140:$H$186</formula1>
    </dataValidation>
    <dataValidation type="list" allowBlank="1" showInputMessage="1" showErrorMessage="1" sqref="F20:F22 F12:F13" xr:uid="{6CE4A98A-8CB3-D340-913D-99290515C7FD}">
      <formula1>$H$141:$H$186</formula1>
    </dataValidation>
    <dataValidation type="list" allowBlank="1" showInputMessage="1" showErrorMessage="1" sqref="F4:F11 O4:O8 X4:X6 F55:F64 O18:O19 X15:X16 F16 F35:F39 F27:F30 X20:X26" xr:uid="{7F24D963-67A7-BD4D-BDBB-BA2140A1610B}">
      <formula1>$H$140:$H$192</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5E565-13BE-6E4D-89E7-3C26408E549B}">
  <sheetPr>
    <tabColor rgb="FFFF0000"/>
  </sheetPr>
  <dimension ref="A1:AE192"/>
  <sheetViews>
    <sheetView view="pageBreakPreview" topLeftCell="J58" zoomScale="90" zoomScaleNormal="59" zoomScaleSheetLayoutView="90" workbookViewId="0">
      <selection activeCell="R13" sqref="R13:Y13"/>
    </sheetView>
  </sheetViews>
  <sheetFormatPr baseColWidth="10" defaultColWidth="11.42578125" defaultRowHeight="12.75" x14ac:dyDescent="0.2"/>
  <cols>
    <col min="1" max="1" width="58.42578125" style="3" customWidth="1"/>
    <col min="2" max="2" width="27.42578125" style="3" customWidth="1"/>
    <col min="3" max="3" width="20.85546875" style="3" customWidth="1"/>
    <col min="4" max="5" width="44.4257812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51.42578125" style="3" customWidth="1"/>
    <col min="16" max="16" width="29.28515625" style="3" customWidth="1"/>
    <col min="17" max="17" width="23.85546875" style="3" customWidth="1"/>
    <col min="18" max="18" width="18.140625" style="3" customWidth="1"/>
    <col min="19" max="19" width="36.42578125" style="3" customWidth="1"/>
    <col min="20" max="20" width="20.28515625" style="3" customWidth="1"/>
    <col min="21" max="21" width="19" style="3" customWidth="1"/>
    <col min="22" max="23" width="25.42578125" style="3" customWidth="1"/>
    <col min="24" max="24" width="59.2851562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379" t="s">
        <v>0</v>
      </c>
      <c r="B1" s="379"/>
      <c r="C1" s="379"/>
      <c r="D1" s="379"/>
      <c r="E1" s="379"/>
      <c r="F1" s="379"/>
      <c r="G1" s="379"/>
      <c r="H1" s="2"/>
      <c r="I1" s="2"/>
      <c r="J1" s="2"/>
      <c r="K1" s="2"/>
      <c r="L1" s="2"/>
      <c r="M1" s="2"/>
      <c r="N1" s="2"/>
      <c r="O1" s="2"/>
      <c r="P1" s="2"/>
      <c r="Q1" s="2"/>
      <c r="R1" s="2"/>
      <c r="S1" s="2"/>
      <c r="T1" s="2"/>
      <c r="U1" s="2"/>
      <c r="V1" s="2"/>
      <c r="W1" s="2"/>
      <c r="X1" s="2"/>
      <c r="Y1" s="2"/>
    </row>
    <row r="2" spans="1:31" ht="15.75" x14ac:dyDescent="0.2">
      <c r="A2" s="379" t="s">
        <v>1</v>
      </c>
      <c r="B2" s="379"/>
      <c r="C2" s="379"/>
      <c r="D2" s="379"/>
      <c r="E2" s="379"/>
      <c r="F2" s="379"/>
      <c r="G2" s="379"/>
      <c r="H2" s="2"/>
      <c r="I2" s="355" t="s">
        <v>2</v>
      </c>
      <c r="J2" s="356"/>
      <c r="K2" s="356"/>
      <c r="L2" s="356"/>
      <c r="M2" s="356"/>
      <c r="N2" s="356"/>
      <c r="O2" s="356"/>
      <c r="P2" s="358"/>
      <c r="Q2" s="2"/>
      <c r="R2" s="355" t="s">
        <v>3</v>
      </c>
      <c r="S2" s="356"/>
      <c r="T2" s="356"/>
      <c r="U2" s="356"/>
      <c r="V2" s="356"/>
      <c r="W2" s="356"/>
      <c r="X2" s="356"/>
      <c r="Y2" s="358"/>
      <c r="AA2" s="375"/>
      <c r="AB2" s="375"/>
      <c r="AC2" s="375"/>
      <c r="AD2" s="375"/>
      <c r="AE2" s="375"/>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7" t="s">
        <v>11</v>
      </c>
      <c r="S3" s="7" t="s">
        <v>4</v>
      </c>
      <c r="T3" s="8" t="s">
        <v>5</v>
      </c>
      <c r="U3" s="8" t="s">
        <v>6</v>
      </c>
      <c r="V3" s="8" t="s">
        <v>7</v>
      </c>
      <c r="W3" s="8" t="s">
        <v>8</v>
      </c>
      <c r="X3" s="8" t="s">
        <v>9</v>
      </c>
      <c r="Y3" s="8" t="s">
        <v>10</v>
      </c>
      <c r="AA3" s="4"/>
      <c r="AB3" s="9"/>
      <c r="AC3" s="9"/>
      <c r="AD3" s="9"/>
      <c r="AE3" s="9"/>
    </row>
    <row r="4" spans="1:31" ht="15.75" x14ac:dyDescent="0.25">
      <c r="A4" s="10" t="s">
        <v>12</v>
      </c>
      <c r="B4" s="11" t="str">
        <f t="shared" ref="B4:B11" si="0">+IF(F4=0,0,MID(F4,LEN(F4)-3,1))</f>
        <v>4</v>
      </c>
      <c r="C4" s="12">
        <v>1</v>
      </c>
      <c r="D4" s="12" t="s">
        <v>13</v>
      </c>
      <c r="E4" s="13" t="str">
        <f t="shared" ref="E4:E11" si="1">+IF(F4=0,0,CONCATENATE(MID(F4,FIND("-",F4,1)+1,4),"ORAS"))</f>
        <v>15 HORAS</v>
      </c>
      <c r="F4" s="14" t="s">
        <v>14</v>
      </c>
      <c r="G4" s="239">
        <f>+IF(F4="","",VLOOKUP(F4,$H$140:$I$192,2,FALSE))</f>
        <v>582964</v>
      </c>
      <c r="H4" s="2"/>
      <c r="I4" s="15" t="s">
        <v>15</v>
      </c>
      <c r="J4" s="14" t="s">
        <v>16</v>
      </c>
      <c r="K4" s="16">
        <v>3</v>
      </c>
      <c r="L4" s="17">
        <v>1</v>
      </c>
      <c r="M4" s="18" t="s">
        <v>13</v>
      </c>
      <c r="N4" s="13" t="str">
        <f>+IF(O4=0,0,CONCATENATE(MID(O4,FIND("-",O4,1)+1,4),"ORAS"))</f>
        <v>15 HORAS</v>
      </c>
      <c r="O4" s="14" t="s">
        <v>17</v>
      </c>
      <c r="P4" s="239">
        <f>+IF(O4="","",VLOOKUP(O4,$H$140:$I$192,2,FALSE))</f>
        <v>443323</v>
      </c>
      <c r="Q4" s="2"/>
      <c r="R4" s="15" t="s">
        <v>15</v>
      </c>
      <c r="S4" s="20" t="s">
        <v>18</v>
      </c>
      <c r="T4" s="16" t="str">
        <f>+IF(X4=0,0,MID(X4,LEN(X4)-3,1))</f>
        <v>4</v>
      </c>
      <c r="U4" s="319">
        <v>1</v>
      </c>
      <c r="V4" s="22" t="s">
        <v>13</v>
      </c>
      <c r="W4" s="13" t="str">
        <f>+IF(X4=0,0,CONCATENATE(MID(X4,FIND("-",X4,1)+1,4),"ORAS"))</f>
        <v>15 HORAS</v>
      </c>
      <c r="X4" s="14" t="s">
        <v>19</v>
      </c>
      <c r="Y4" s="308">
        <f>+IF(X4="","",VLOOKUP(X4,$H$140:$I$192,2,FALSE))</f>
        <v>501739</v>
      </c>
      <c r="AA4" s="23"/>
      <c r="AB4" s="24"/>
      <c r="AC4" s="24"/>
      <c r="AD4" s="25"/>
      <c r="AE4" s="26"/>
    </row>
    <row r="5" spans="1:31" ht="15.75" x14ac:dyDescent="0.25">
      <c r="A5" s="14" t="s">
        <v>20</v>
      </c>
      <c r="B5" s="11" t="str">
        <f t="shared" si="0"/>
        <v>3</v>
      </c>
      <c r="C5" s="18">
        <v>1</v>
      </c>
      <c r="D5" s="18" t="s">
        <v>13</v>
      </c>
      <c r="E5" s="13" t="str">
        <f t="shared" si="1"/>
        <v>15 HORAS</v>
      </c>
      <c r="F5" s="14" t="s">
        <v>21</v>
      </c>
      <c r="G5" s="239">
        <f>+IF(F5="","",VLOOKUP(F5,$H$140:I$192,2,FALSE))</f>
        <v>514916</v>
      </c>
      <c r="H5" s="2"/>
      <c r="I5" s="15" t="s">
        <v>15</v>
      </c>
      <c r="J5" s="14" t="s">
        <v>22</v>
      </c>
      <c r="K5" s="16">
        <v>0</v>
      </c>
      <c r="L5" s="17">
        <v>1</v>
      </c>
      <c r="M5" s="18" t="s">
        <v>13</v>
      </c>
      <c r="N5" s="13" t="str">
        <f>+IF(O5=0,0,CONCATENATE(MID(O5,FIND("-",O5,1)+1,4),"ORAS"))</f>
        <v>15 HORAS</v>
      </c>
      <c r="O5" s="14" t="s">
        <v>23</v>
      </c>
      <c r="P5" s="239">
        <f>+IF(O5="","",VLOOKUP(O5,$H$140:$I$192,2,FALSE))</f>
        <v>239262</v>
      </c>
      <c r="Q5" s="2"/>
      <c r="R5" s="15" t="s">
        <v>15</v>
      </c>
      <c r="S5" s="20" t="s">
        <v>24</v>
      </c>
      <c r="T5" s="16" t="str">
        <f>+IF(X5=0,0,MID(X5,LEN(X5)-3,1))</f>
        <v>4</v>
      </c>
      <c r="U5" s="319">
        <v>1</v>
      </c>
      <c r="V5" s="22" t="s">
        <v>13</v>
      </c>
      <c r="W5" s="13" t="str">
        <f>+IF(X5=0,0,CONCATENATE(MID(X5,FIND("-",X5,1)+1,4),"ORAS"))</f>
        <v>15 HORAS</v>
      </c>
      <c r="X5" s="14" t="s">
        <v>19</v>
      </c>
      <c r="Y5" s="308">
        <f>+IF(X5="","",VLOOKUP(X5,$H$140:$I$192,2,FALSE))</f>
        <v>501739</v>
      </c>
      <c r="AA5" s="23"/>
      <c r="AB5" s="24"/>
      <c r="AC5" s="24"/>
      <c r="AD5" s="25"/>
      <c r="AE5" s="26"/>
    </row>
    <row r="6" spans="1:31" ht="15.75" x14ac:dyDescent="0.25">
      <c r="A6" s="14" t="s">
        <v>25</v>
      </c>
      <c r="B6" s="11" t="str">
        <f t="shared" si="0"/>
        <v>3</v>
      </c>
      <c r="C6" s="18">
        <v>1</v>
      </c>
      <c r="D6" s="18" t="s">
        <v>13</v>
      </c>
      <c r="E6" s="13" t="str">
        <f t="shared" si="1"/>
        <v>15 HORAS</v>
      </c>
      <c r="F6" s="14" t="s">
        <v>21</v>
      </c>
      <c r="G6" s="239">
        <f>+IF(F6="","",VLOOKUP(F6,$H$140:I$192,2,FALSE))</f>
        <v>514916</v>
      </c>
      <c r="H6" s="2"/>
      <c r="I6" s="15" t="s">
        <v>15</v>
      </c>
      <c r="J6" s="14" t="s">
        <v>252</v>
      </c>
      <c r="K6" s="16">
        <v>4</v>
      </c>
      <c r="L6" s="17">
        <v>1</v>
      </c>
      <c r="M6" s="18" t="s">
        <v>13</v>
      </c>
      <c r="N6" s="13" t="str">
        <f>+IF(O6=0,0,CONCATENATE(MID(O6,FIND("-",O6,1)+1,4),"ORAS"))</f>
        <v>15 HORAS</v>
      </c>
      <c r="O6" s="14" t="s">
        <v>19</v>
      </c>
      <c r="P6" s="239">
        <f>+IF(O6="","",VLOOKUP(O6,$H$140:$I$192,2,FALSE))</f>
        <v>501739</v>
      </c>
      <c r="Q6" s="2"/>
      <c r="R6" s="15" t="s">
        <v>15</v>
      </c>
      <c r="S6" s="20" t="s">
        <v>26</v>
      </c>
      <c r="T6" s="16" t="str">
        <f>+IF(X6=0,0,MID(X6,LEN(X6)-3,1))</f>
        <v>4</v>
      </c>
      <c r="U6" s="319">
        <v>1</v>
      </c>
      <c r="V6" s="22" t="s">
        <v>13</v>
      </c>
      <c r="W6" s="13" t="str">
        <f>+IF(X6=0,0,CONCATENATE(MID(X6,FIND("-",X6,1)+1,4),"ORAS"))</f>
        <v>15 HORAS</v>
      </c>
      <c r="X6" s="14" t="s">
        <v>19</v>
      </c>
      <c r="Y6" s="308">
        <f>+IF(X6="","",VLOOKUP(X6,$H$140:$I$192,2,FALSE))</f>
        <v>501739</v>
      </c>
      <c r="AA6" s="23"/>
      <c r="AB6" s="24"/>
      <c r="AC6" s="24"/>
      <c r="AD6" s="25"/>
      <c r="AE6" s="26"/>
    </row>
    <row r="7" spans="1:31" ht="15.75" x14ac:dyDescent="0.25">
      <c r="A7" s="14" t="s">
        <v>27</v>
      </c>
      <c r="B7" s="11" t="str">
        <f t="shared" si="0"/>
        <v>3</v>
      </c>
      <c r="C7" s="18">
        <v>1</v>
      </c>
      <c r="D7" s="18" t="s">
        <v>13</v>
      </c>
      <c r="E7" s="13" t="str">
        <f t="shared" si="1"/>
        <v>15 HORAS</v>
      </c>
      <c r="F7" s="14" t="s">
        <v>21</v>
      </c>
      <c r="G7" s="239">
        <f>+IF(F7="","",VLOOKUP(F7,$H$140:I$192,2,FALSE))</f>
        <v>514916</v>
      </c>
      <c r="H7" s="2"/>
      <c r="I7" s="15" t="s">
        <v>15</v>
      </c>
      <c r="J7" s="14" t="s">
        <v>346</v>
      </c>
      <c r="K7" s="16">
        <v>4</v>
      </c>
      <c r="L7" s="17">
        <v>1</v>
      </c>
      <c r="M7" s="18" t="s">
        <v>13</v>
      </c>
      <c r="N7" s="13" t="str">
        <f>+IF(O7=0,0,CONCATENATE(MID(O7,FIND("-",O7,1)+1,4),"ORAS"))</f>
        <v>15 HORAS</v>
      </c>
      <c r="O7" s="14" t="s">
        <v>21</v>
      </c>
      <c r="P7" s="316">
        <f>+IF(O7="","",VLOOKUP(O7,$H$140:$I$192,2,FALSE))</f>
        <v>514916</v>
      </c>
      <c r="Q7" s="2"/>
      <c r="R7" s="27"/>
      <c r="S7" s="320"/>
      <c r="T7" s="16"/>
      <c r="U7" s="321"/>
      <c r="V7" s="12"/>
      <c r="W7" s="13"/>
      <c r="X7" s="14">
        <v>0</v>
      </c>
      <c r="Y7" s="30">
        <f>+IF(X7="","",VLOOKUP(X7,$H$140:$I$186,2,FALSE))</f>
        <v>0</v>
      </c>
      <c r="AA7" s="23"/>
      <c r="AB7" s="23"/>
      <c r="AC7" s="23"/>
      <c r="AD7" s="23"/>
      <c r="AE7" s="23"/>
    </row>
    <row r="8" spans="1:31" ht="15.75" x14ac:dyDescent="0.25">
      <c r="A8" s="14" t="s">
        <v>28</v>
      </c>
      <c r="B8" s="11" t="str">
        <f t="shared" si="0"/>
        <v>3</v>
      </c>
      <c r="C8" s="18">
        <v>1</v>
      </c>
      <c r="D8" s="18" t="s">
        <v>13</v>
      </c>
      <c r="E8" s="13" t="str">
        <f t="shared" si="1"/>
        <v>15 HORAS</v>
      </c>
      <c r="F8" s="14" t="s">
        <v>21</v>
      </c>
      <c r="G8" s="239">
        <f>+IF(F8="","",VLOOKUP(F8,$H$140:I$192,2,FALSE))</f>
        <v>514916</v>
      </c>
      <c r="H8" s="2"/>
      <c r="I8" s="15"/>
      <c r="J8" s="14"/>
      <c r="K8" s="16"/>
      <c r="L8" s="17"/>
      <c r="M8" s="18"/>
      <c r="N8" s="13"/>
      <c r="O8" s="14">
        <v>0</v>
      </c>
      <c r="P8" s="19">
        <f>+IF(O8="","",VLOOKUP(O8,$H$140:$I$192,2,FALSE))</f>
        <v>0</v>
      </c>
      <c r="Q8" s="2"/>
      <c r="R8" s="15"/>
      <c r="S8" s="322"/>
      <c r="T8" s="319"/>
      <c r="U8" s="319">
        <f>+U4+U5+U6+U7</f>
        <v>3</v>
      </c>
      <c r="V8" s="18"/>
      <c r="W8" s="14"/>
      <c r="X8" s="14"/>
      <c r="Y8" s="32"/>
      <c r="AA8" s="23"/>
      <c r="AB8" s="23"/>
      <c r="AC8" s="23"/>
      <c r="AD8" s="23"/>
      <c r="AE8" s="23"/>
    </row>
    <row r="9" spans="1:31" ht="15.75" x14ac:dyDescent="0.25">
      <c r="A9" s="33" t="s">
        <v>29</v>
      </c>
      <c r="B9" s="11" t="str">
        <f t="shared" si="0"/>
        <v>3</v>
      </c>
      <c r="C9" s="18">
        <v>1</v>
      </c>
      <c r="D9" s="18" t="s">
        <v>13</v>
      </c>
      <c r="E9" s="13" t="str">
        <f t="shared" si="1"/>
        <v>15 HORAS</v>
      </c>
      <c r="F9" s="14" t="s">
        <v>21</v>
      </c>
      <c r="G9" s="239">
        <f>+IF(F9="","",VLOOKUP(F9,$H$140:I$192,2,FALSE))</f>
        <v>514916</v>
      </c>
      <c r="H9" s="2"/>
      <c r="I9" s="34"/>
      <c r="J9" s="14"/>
      <c r="K9" s="16"/>
      <c r="L9" s="35"/>
      <c r="M9" s="35"/>
      <c r="N9" s="14"/>
      <c r="O9" s="14"/>
      <c r="P9" s="36"/>
      <c r="Q9" s="2"/>
      <c r="R9" s="37"/>
      <c r="S9" s="323"/>
      <c r="T9" s="323"/>
      <c r="U9" s="323"/>
      <c r="V9" s="39"/>
      <c r="W9" s="39"/>
      <c r="X9" s="39"/>
      <c r="Y9" s="2"/>
      <c r="AA9" s="23"/>
      <c r="AB9" s="23"/>
      <c r="AC9" s="23"/>
      <c r="AD9" s="23"/>
      <c r="AE9" s="23"/>
    </row>
    <row r="10" spans="1:31" ht="15.75" x14ac:dyDescent="0.25">
      <c r="A10" s="33" t="s">
        <v>30</v>
      </c>
      <c r="B10" s="11" t="str">
        <f t="shared" si="0"/>
        <v>3</v>
      </c>
      <c r="C10" s="18">
        <v>1</v>
      </c>
      <c r="D10" s="18" t="s">
        <v>13</v>
      </c>
      <c r="E10" s="13" t="str">
        <f t="shared" si="1"/>
        <v>15 HORAS</v>
      </c>
      <c r="F10" s="14" t="s">
        <v>21</v>
      </c>
      <c r="G10" s="239">
        <f>+IF(F10="","",VLOOKUP(F10,$H$140:I$192,2,FALSE))</f>
        <v>514916</v>
      </c>
      <c r="H10" s="2"/>
      <c r="I10" s="34"/>
      <c r="J10" s="14"/>
      <c r="K10" s="16"/>
      <c r="L10" s="35"/>
      <c r="M10" s="35"/>
      <c r="N10" s="14"/>
      <c r="O10" s="14"/>
      <c r="P10" s="36"/>
      <c r="Q10" s="2"/>
      <c r="R10" s="37"/>
      <c r="S10" s="323"/>
      <c r="T10" s="323"/>
      <c r="U10" s="323"/>
      <c r="V10" s="39"/>
      <c r="W10" s="39"/>
      <c r="X10" s="39"/>
      <c r="Y10" s="2"/>
      <c r="AA10" s="23"/>
      <c r="AB10" s="23"/>
      <c r="AC10" s="23"/>
      <c r="AD10" s="23"/>
      <c r="AE10" s="23"/>
    </row>
    <row r="11" spans="1:31" ht="15.75" x14ac:dyDescent="0.25">
      <c r="A11" s="33" t="s">
        <v>31</v>
      </c>
      <c r="B11" s="11" t="str">
        <f t="shared" si="0"/>
        <v>4</v>
      </c>
      <c r="C11" s="12">
        <v>1</v>
      </c>
      <c r="D11" s="12" t="s">
        <v>13</v>
      </c>
      <c r="E11" s="13" t="str">
        <f t="shared" si="1"/>
        <v>15 HORAS</v>
      </c>
      <c r="F11" s="14" t="s">
        <v>14</v>
      </c>
      <c r="G11" s="239">
        <f>+IF(F11="","",VLOOKUP(F11,$H$140:$I$192,2,FALSE))</f>
        <v>582964</v>
      </c>
      <c r="H11" s="2"/>
      <c r="I11" s="34"/>
      <c r="J11" s="14"/>
      <c r="K11" s="16"/>
      <c r="L11" s="35"/>
      <c r="M11" s="35"/>
      <c r="N11" s="14"/>
      <c r="O11" s="14"/>
      <c r="P11" s="40"/>
      <c r="Q11" s="2"/>
      <c r="R11" s="37"/>
      <c r="S11" s="323"/>
      <c r="T11" s="323"/>
      <c r="U11" s="323"/>
      <c r="V11" s="39"/>
      <c r="W11" s="39"/>
      <c r="X11" s="39"/>
      <c r="Y11" s="2"/>
      <c r="AA11" s="23"/>
      <c r="AB11" s="23"/>
      <c r="AC11" s="23"/>
      <c r="AD11" s="23"/>
      <c r="AE11" s="23"/>
    </row>
    <row r="12" spans="1:31" ht="15.75" x14ac:dyDescent="0.25">
      <c r="A12" s="41"/>
      <c r="B12" s="11"/>
      <c r="C12" s="18"/>
      <c r="D12" s="18"/>
      <c r="E12" s="13"/>
      <c r="F12" s="14"/>
      <c r="G12" s="30"/>
      <c r="H12" s="2"/>
      <c r="I12" s="34"/>
      <c r="J12" s="14"/>
      <c r="K12" s="16"/>
      <c r="L12" s="35"/>
      <c r="M12" s="35"/>
      <c r="N12" s="14"/>
      <c r="O12" s="14"/>
      <c r="P12" s="40"/>
      <c r="Q12" s="2"/>
      <c r="R12" s="37"/>
      <c r="S12" s="323"/>
      <c r="T12" s="323"/>
      <c r="U12" s="323"/>
      <c r="V12" s="39"/>
      <c r="W12" s="39"/>
      <c r="X12" s="39"/>
      <c r="Y12" s="2"/>
      <c r="AA12" s="23"/>
      <c r="AB12" s="23"/>
      <c r="AC12" s="23"/>
      <c r="AD12" s="23"/>
      <c r="AE12" s="23"/>
    </row>
    <row r="13" spans="1:31" ht="15.75" x14ac:dyDescent="0.25">
      <c r="A13" s="42"/>
      <c r="B13" s="11">
        <f>+B10+B9+B8+B7+B6+B5+B4+B11</f>
        <v>26</v>
      </c>
      <c r="C13" s="11">
        <f>+C10+C9+C8+C7+C6+C5+C4</f>
        <v>7</v>
      </c>
      <c r="D13" s="43"/>
      <c r="E13" s="43"/>
      <c r="F13" s="14"/>
      <c r="G13" s="44">
        <f>SUM(G4:G12)</f>
        <v>4255424</v>
      </c>
      <c r="H13" s="2"/>
      <c r="I13" s="34"/>
      <c r="J13" s="14"/>
      <c r="K13" s="16"/>
      <c r="L13" s="17"/>
      <c r="M13" s="35"/>
      <c r="N13" s="14"/>
      <c r="O13" s="14"/>
      <c r="P13" s="45"/>
      <c r="Q13" s="2"/>
      <c r="R13" s="380" t="s">
        <v>32</v>
      </c>
      <c r="S13" s="380"/>
      <c r="T13" s="380"/>
      <c r="U13" s="380"/>
      <c r="V13" s="380"/>
      <c r="W13" s="380"/>
      <c r="X13" s="380"/>
      <c r="Y13" s="380"/>
      <c r="AA13" s="23"/>
      <c r="AB13" s="23"/>
      <c r="AC13" s="23"/>
      <c r="AD13" s="23"/>
      <c r="AE13" s="23"/>
    </row>
    <row r="14" spans="1:31" ht="16.5" customHeight="1" x14ac:dyDescent="0.25">
      <c r="A14" s="368" t="s">
        <v>33</v>
      </c>
      <c r="B14" s="368"/>
      <c r="C14" s="368"/>
      <c r="D14" s="368"/>
      <c r="E14" s="368"/>
      <c r="F14" s="368"/>
      <c r="G14" s="368"/>
      <c r="H14" s="2"/>
      <c r="I14" s="34"/>
      <c r="J14" s="14"/>
      <c r="K14" s="16"/>
      <c r="L14" s="17"/>
      <c r="M14" s="35"/>
      <c r="N14" s="14"/>
      <c r="O14" s="14"/>
      <c r="P14" s="46"/>
      <c r="Q14" s="2"/>
      <c r="R14" s="327" t="s">
        <v>11</v>
      </c>
      <c r="S14" s="327" t="s">
        <v>4</v>
      </c>
      <c r="T14" s="328" t="s">
        <v>5</v>
      </c>
      <c r="U14" s="328" t="s">
        <v>6</v>
      </c>
      <c r="V14" s="328" t="s">
        <v>7</v>
      </c>
      <c r="W14" s="328" t="s">
        <v>8</v>
      </c>
      <c r="X14" s="328" t="s">
        <v>9</v>
      </c>
      <c r="Y14" s="328" t="s">
        <v>10</v>
      </c>
      <c r="Z14" s="47"/>
    </row>
    <row r="15" spans="1:31" ht="15.75" x14ac:dyDescent="0.2">
      <c r="A15" s="1" t="s">
        <v>4</v>
      </c>
      <c r="B15" s="5" t="s">
        <v>5</v>
      </c>
      <c r="C15" s="5" t="s">
        <v>6</v>
      </c>
      <c r="D15" s="5" t="s">
        <v>7</v>
      </c>
      <c r="E15" s="5" t="s">
        <v>8</v>
      </c>
      <c r="F15" s="48" t="s">
        <v>9</v>
      </c>
      <c r="G15" s="5" t="s">
        <v>10</v>
      </c>
      <c r="H15" s="2"/>
      <c r="I15" s="42"/>
      <c r="J15" s="42"/>
      <c r="K15" s="42"/>
      <c r="L15" s="42"/>
      <c r="M15" s="42"/>
      <c r="N15" s="14"/>
      <c r="O15" s="14"/>
      <c r="P15" s="49"/>
      <c r="Q15" s="2"/>
      <c r="R15" s="50" t="s">
        <v>15</v>
      </c>
      <c r="S15" s="20" t="s">
        <v>34</v>
      </c>
      <c r="T15" s="16">
        <v>3</v>
      </c>
      <c r="U15" s="20">
        <v>0</v>
      </c>
      <c r="V15" s="20" t="s">
        <v>35</v>
      </c>
      <c r="W15" s="13" t="str">
        <f>+IF(X15=0,0,CONCATENATE(MID(X15,FIND("-",X15,1)+1,4),"ORAS"))</f>
        <v>08 HORAS</v>
      </c>
      <c r="X15" s="14" t="s">
        <v>36</v>
      </c>
      <c r="Y15" s="308">
        <f>+(IF(X15="","",VLOOKUP(X15,$H$140:$I$192,2,FALSE)))*T15</f>
        <v>160731</v>
      </c>
    </row>
    <row r="16" spans="1:31" ht="18.75" customHeight="1" x14ac:dyDescent="0.2">
      <c r="A16" s="33"/>
      <c r="B16" s="51">
        <f>+IF(F16=0,0,MID(F16,LEN(F16)-3,1))</f>
        <v>0</v>
      </c>
      <c r="C16" s="321"/>
      <c r="D16" s="12"/>
      <c r="E16" s="13">
        <f>+IF(F16=0,0,CONCATENATE(MID(F16,FIND("-",F16,1)+1,4),"ORAS"))</f>
        <v>0</v>
      </c>
      <c r="F16" s="14">
        <v>0</v>
      </c>
      <c r="G16" s="19">
        <f>+IF(F16="","",VLOOKUP(F16,$H$140:I$192,2,FALSE))</f>
        <v>0</v>
      </c>
      <c r="H16" s="2"/>
      <c r="I16" s="369" t="s">
        <v>37</v>
      </c>
      <c r="J16" s="357"/>
      <c r="K16" s="357"/>
      <c r="L16" s="357"/>
      <c r="M16" s="357"/>
      <c r="N16" s="357"/>
      <c r="O16" s="357"/>
      <c r="P16" s="370"/>
      <c r="Q16" s="2"/>
      <c r="R16" s="50" t="s">
        <v>15</v>
      </c>
      <c r="S16" s="20" t="s">
        <v>38</v>
      </c>
      <c r="T16" s="16">
        <v>3</v>
      </c>
      <c r="U16" s="20">
        <v>0</v>
      </c>
      <c r="V16" s="20" t="s">
        <v>35</v>
      </c>
      <c r="W16" s="14" t="str">
        <f>+IF(X16=0,0,CONCATENATE(MID(X16,FIND("-",X16,1)+1,4),"ORAS"))</f>
        <v>08 HORAS</v>
      </c>
      <c r="X16" s="14" t="s">
        <v>36</v>
      </c>
      <c r="Y16" s="317">
        <f>+(IF(X16="","",VLOOKUP(X16,$H$140:$I$192,2,FALSE)))*T16</f>
        <v>160731</v>
      </c>
    </row>
    <row r="17" spans="1:31" ht="23.25" customHeight="1" x14ac:dyDescent="0.2">
      <c r="A17" s="52"/>
      <c r="B17" s="16"/>
      <c r="C17" s="319"/>
      <c r="D17" s="18"/>
      <c r="E17" s="14"/>
      <c r="F17" s="14"/>
      <c r="G17" s="30"/>
      <c r="H17" s="2"/>
      <c r="I17" s="7" t="s">
        <v>11</v>
      </c>
      <c r="J17" s="7" t="s">
        <v>4</v>
      </c>
      <c r="K17" s="8" t="s">
        <v>5</v>
      </c>
      <c r="L17" s="8" t="s">
        <v>6</v>
      </c>
      <c r="M17" s="8" t="s">
        <v>7</v>
      </c>
      <c r="N17" s="8" t="s">
        <v>8</v>
      </c>
      <c r="O17" s="8" t="s">
        <v>9</v>
      </c>
      <c r="P17" s="8" t="s">
        <v>10</v>
      </c>
      <c r="Q17" s="2"/>
      <c r="R17" s="2"/>
      <c r="S17" s="2"/>
      <c r="T17" s="2"/>
      <c r="U17" s="2"/>
      <c r="V17" s="2"/>
      <c r="W17" s="2"/>
      <c r="X17" s="2"/>
      <c r="Y17" s="2"/>
    </row>
    <row r="18" spans="1:31" ht="15.75" x14ac:dyDescent="0.25">
      <c r="A18" s="52"/>
      <c r="B18" s="16"/>
      <c r="C18" s="319"/>
      <c r="D18" s="18"/>
      <c r="E18" s="14"/>
      <c r="F18" s="14"/>
      <c r="G18" s="30"/>
      <c r="H18" s="2"/>
      <c r="I18" s="15"/>
      <c r="J18" s="14"/>
      <c r="K18" s="16"/>
      <c r="L18" s="17"/>
      <c r="M18" s="18"/>
      <c r="N18" s="13">
        <f>+IF(O18=0,0,CONCATENATE(MID(O18,FIND("-",O18,1)+1,4),"ORAS"))</f>
        <v>0</v>
      </c>
      <c r="O18" s="14">
        <v>0</v>
      </c>
      <c r="P18" s="19">
        <f>+IF(O18="","",VLOOKUP(O18,$H$140:$I$192,2,FALSE))</f>
        <v>0</v>
      </c>
      <c r="Q18" s="2"/>
      <c r="R18" s="355" t="s">
        <v>39</v>
      </c>
      <c r="S18" s="356"/>
      <c r="T18" s="356"/>
      <c r="U18" s="356"/>
      <c r="V18" s="356"/>
      <c r="W18" s="356"/>
      <c r="X18" s="356"/>
      <c r="Y18" s="358"/>
    </row>
    <row r="19" spans="1:31" ht="15.75" x14ac:dyDescent="0.25">
      <c r="A19" s="53"/>
      <c r="B19" s="16"/>
      <c r="C19" s="18"/>
      <c r="D19" s="18"/>
      <c r="E19" s="14"/>
      <c r="F19" s="14"/>
      <c r="G19" s="30"/>
      <c r="H19" s="2"/>
      <c r="I19" s="15"/>
      <c r="J19" s="14"/>
      <c r="K19" s="16"/>
      <c r="L19" s="54"/>
      <c r="M19" s="55"/>
      <c r="N19" s="13"/>
      <c r="O19" s="14">
        <v>0</v>
      </c>
      <c r="P19" s="19">
        <f>+IF(O19="","",VLOOKUP(O19,$H$140:$I$192,2,FALSE))</f>
        <v>0</v>
      </c>
      <c r="Q19" s="2"/>
      <c r="R19" s="7" t="s">
        <v>11</v>
      </c>
      <c r="S19" s="7" t="s">
        <v>4</v>
      </c>
      <c r="T19" s="8" t="s">
        <v>5</v>
      </c>
      <c r="U19" s="8" t="s">
        <v>6</v>
      </c>
      <c r="V19" s="8" t="s">
        <v>7</v>
      </c>
      <c r="W19" s="8" t="s">
        <v>8</v>
      </c>
      <c r="X19" s="8" t="s">
        <v>9</v>
      </c>
      <c r="Y19" s="8" t="s">
        <v>10</v>
      </c>
      <c r="AA19" s="23"/>
      <c r="AB19" s="23"/>
      <c r="AC19" s="23"/>
      <c r="AD19" s="23"/>
      <c r="AE19" s="23"/>
    </row>
    <row r="20" spans="1:31" ht="15.75" x14ac:dyDescent="0.25">
      <c r="A20" s="56"/>
      <c r="B20" s="16"/>
      <c r="C20" s="57"/>
      <c r="D20" s="57"/>
      <c r="E20" s="14"/>
      <c r="F20" s="14"/>
      <c r="G20" s="30"/>
      <c r="H20" s="2"/>
      <c r="I20" s="34"/>
      <c r="J20" s="13"/>
      <c r="K20" s="16"/>
      <c r="L20" s="58"/>
      <c r="M20" s="22"/>
      <c r="N20" s="13"/>
      <c r="O20" s="14"/>
      <c r="P20" s="59"/>
      <c r="Q20" s="2"/>
      <c r="R20" s="5" t="s">
        <v>40</v>
      </c>
      <c r="S20" s="20" t="s">
        <v>34</v>
      </c>
      <c r="T20" s="16" t="s">
        <v>35</v>
      </c>
      <c r="U20" s="20" t="s">
        <v>35</v>
      </c>
      <c r="V20" s="12" t="s">
        <v>13</v>
      </c>
      <c r="W20" s="13" t="str">
        <f>+IF(X20=0,0,CONCATENATE(MID(X20,FIND("-",X20,1)+1,4),"ORAS"))</f>
        <v>15 HORAS</v>
      </c>
      <c r="X20" s="14" t="s">
        <v>41</v>
      </c>
      <c r="Y20" s="308">
        <f>+IF(X20="","",VLOOKUP(X20,$H$140:$I$192,2,FALSE))</f>
        <v>373234</v>
      </c>
      <c r="AA20" s="23"/>
      <c r="AB20" s="23"/>
      <c r="AC20" s="23"/>
      <c r="AD20" s="23"/>
      <c r="AE20" s="23"/>
    </row>
    <row r="21" spans="1:31" ht="15.75" x14ac:dyDescent="0.25">
      <c r="A21" s="56"/>
      <c r="B21" s="16"/>
      <c r="C21" s="57"/>
      <c r="D21" s="57"/>
      <c r="E21" s="14"/>
      <c r="F21" s="14"/>
      <c r="G21" s="30"/>
      <c r="H21" s="2"/>
      <c r="I21" s="34"/>
      <c r="J21" s="13"/>
      <c r="K21" s="16"/>
      <c r="L21" s="58"/>
      <c r="M21" s="22"/>
      <c r="N21" s="13"/>
      <c r="O21" s="14"/>
      <c r="P21" s="59"/>
      <c r="Q21" s="2"/>
      <c r="R21" s="324" t="s">
        <v>40</v>
      </c>
      <c r="S21" s="20" t="s">
        <v>34</v>
      </c>
      <c r="T21" s="16" t="s">
        <v>35</v>
      </c>
      <c r="U21" s="20" t="s">
        <v>35</v>
      </c>
      <c r="V21" s="12" t="s">
        <v>13</v>
      </c>
      <c r="W21" s="13" t="str">
        <f>+IF(X21=0,0,CONCATENATE(MID(X21,FIND("-",X21,1)+1,4),"ORAS"))</f>
        <v>15 HORAS</v>
      </c>
      <c r="X21" s="14" t="s">
        <v>41</v>
      </c>
      <c r="Y21" s="308">
        <f>+IF(X21="","",VLOOKUP(X21,$H$140:$I$192,2,FALSE))</f>
        <v>373234</v>
      </c>
      <c r="AA21" s="23"/>
      <c r="AB21" s="23"/>
      <c r="AC21" s="23"/>
      <c r="AD21" s="23"/>
      <c r="AE21" s="23"/>
    </row>
    <row r="22" spans="1:31" ht="15.75" x14ac:dyDescent="0.25">
      <c r="A22" s="56"/>
      <c r="B22" s="16"/>
      <c r="C22" s="57"/>
      <c r="D22" s="57"/>
      <c r="E22" s="14"/>
      <c r="F22" s="57"/>
      <c r="G22" s="30"/>
      <c r="H22" s="2"/>
      <c r="I22" s="34"/>
      <c r="J22" s="13"/>
      <c r="K22" s="16"/>
      <c r="L22" s="58"/>
      <c r="M22" s="22"/>
      <c r="N22" s="13"/>
      <c r="O22" s="14"/>
      <c r="P22" s="59"/>
      <c r="Q22" s="2"/>
      <c r="R22" s="50" t="s">
        <v>15</v>
      </c>
      <c r="S22" s="20" t="s">
        <v>34</v>
      </c>
      <c r="T22" s="16" t="s">
        <v>35</v>
      </c>
      <c r="U22" s="20">
        <v>1</v>
      </c>
      <c r="V22" s="12" t="s">
        <v>13</v>
      </c>
      <c r="W22" s="13" t="str">
        <f>+IF(X22=0,0,CONCATENATE(MID(X22,FIND("-",X22,1)+1,4),"ORAS"))</f>
        <v>15 HORAS</v>
      </c>
      <c r="X22" s="14" t="s">
        <v>23</v>
      </c>
      <c r="Y22" s="308">
        <f>+IF(X22="","",VLOOKUP(X22,$H$140:$I$192,2,FALSE))</f>
        <v>239262</v>
      </c>
      <c r="AA22" s="23"/>
      <c r="AB22" s="23"/>
      <c r="AC22" s="23"/>
      <c r="AD22" s="23"/>
      <c r="AE22" s="23"/>
    </row>
    <row r="23" spans="1:31" ht="15.75" x14ac:dyDescent="0.25">
      <c r="A23" s="60" t="s">
        <v>42</v>
      </c>
      <c r="B23" s="61">
        <f>SUM(B4:B13)+B16+B17+B18+B19+B20+B22</f>
        <v>26</v>
      </c>
      <c r="C23" s="61">
        <f>+C4+C5+C6+C7+C8+C9+C10+C16</f>
        <v>7</v>
      </c>
      <c r="D23" s="62"/>
      <c r="E23" s="63"/>
      <c r="F23" s="62"/>
      <c r="G23" s="44">
        <f>SUM(G13,G16:G22)</f>
        <v>4255424</v>
      </c>
      <c r="H23" s="2"/>
      <c r="I23" s="34"/>
      <c r="J23" s="14"/>
      <c r="K23" s="16"/>
      <c r="L23" s="54"/>
      <c r="M23" s="54"/>
      <c r="N23" s="13"/>
      <c r="O23" s="14"/>
      <c r="P23" s="59"/>
      <c r="Q23" s="2"/>
      <c r="R23" s="50" t="s">
        <v>15</v>
      </c>
      <c r="S23" s="20" t="s">
        <v>34</v>
      </c>
      <c r="T23" s="16" t="s">
        <v>35</v>
      </c>
      <c r="U23" s="20" t="s">
        <v>35</v>
      </c>
      <c r="V23" s="18" t="s">
        <v>13</v>
      </c>
      <c r="W23" s="14" t="str">
        <f>+IF(X23=0,0,CONCATENATE(MID(X23,FIND("-",X23,1)+1,4),"ORAS"))</f>
        <v>15 HORAS</v>
      </c>
      <c r="X23" s="14" t="s">
        <v>41</v>
      </c>
      <c r="Y23" s="308">
        <f>+IF(X23="","",VLOOKUP(X23,$H$140:$I$192,2,FALSE))</f>
        <v>373234</v>
      </c>
      <c r="AA23" s="23"/>
      <c r="AB23" s="23"/>
      <c r="AC23" s="23"/>
      <c r="AD23" s="23"/>
      <c r="AE23" s="23"/>
    </row>
    <row r="24" spans="1:31" ht="15.75" x14ac:dyDescent="0.25">
      <c r="A24" s="371" t="s">
        <v>43</v>
      </c>
      <c r="B24" s="371"/>
      <c r="C24" s="371"/>
      <c r="D24" s="371"/>
      <c r="E24" s="371"/>
      <c r="F24" s="371"/>
      <c r="G24" s="371"/>
      <c r="H24" s="2"/>
      <c r="I24" s="65"/>
      <c r="J24" s="14"/>
      <c r="K24" s="16"/>
      <c r="L24" s="54"/>
      <c r="M24" s="22"/>
      <c r="N24" s="13"/>
      <c r="O24" s="14"/>
      <c r="P24" s="66"/>
      <c r="Q24" s="2"/>
      <c r="R24" s="67" t="s">
        <v>44</v>
      </c>
      <c r="S24" s="20" t="s">
        <v>34</v>
      </c>
      <c r="T24" s="16" t="s">
        <v>35</v>
      </c>
      <c r="U24" s="20" t="s">
        <v>35</v>
      </c>
      <c r="V24" s="18" t="s">
        <v>13</v>
      </c>
      <c r="W24" s="14" t="str">
        <f>+IF(X24=0,0,CONCATENATE(MID(X24,FIND("-",X24,1)+1,4),"ORAS"))</f>
        <v>15 HORAS</v>
      </c>
      <c r="X24" s="14" t="s">
        <v>41</v>
      </c>
      <c r="Y24" s="317">
        <f>+IF(X24="","",VLOOKUP(X24,$H$140:$I$192,2,FALSE))</f>
        <v>373234</v>
      </c>
      <c r="AA24" s="23"/>
      <c r="AB24" s="23"/>
      <c r="AC24" s="23"/>
      <c r="AD24" s="23"/>
      <c r="AE24" s="23"/>
    </row>
    <row r="25" spans="1:31" ht="15.75" x14ac:dyDescent="0.25">
      <c r="A25" s="371" t="s">
        <v>1</v>
      </c>
      <c r="B25" s="371"/>
      <c r="C25" s="371"/>
      <c r="D25" s="371"/>
      <c r="E25" s="371"/>
      <c r="F25" s="371"/>
      <c r="G25" s="371"/>
      <c r="H25" s="2"/>
      <c r="I25" s="34"/>
      <c r="J25" s="68"/>
      <c r="K25" s="16"/>
      <c r="L25" s="35"/>
      <c r="M25" s="35"/>
      <c r="N25" s="14"/>
      <c r="O25" s="14"/>
      <c r="P25" s="69"/>
      <c r="Q25" s="2"/>
      <c r="R25" s="2"/>
      <c r="S25" s="2"/>
      <c r="T25" s="2"/>
      <c r="U25" s="2"/>
      <c r="V25" s="2"/>
      <c r="W25" s="2"/>
      <c r="X25" s="2"/>
      <c r="Y25" s="2"/>
      <c r="AA25" s="23"/>
      <c r="AB25" s="23"/>
      <c r="AC25" s="23"/>
      <c r="AD25" s="23"/>
      <c r="AE25" s="23"/>
    </row>
    <row r="26" spans="1:31" ht="15.75" x14ac:dyDescent="0.2">
      <c r="A26" s="64" t="s">
        <v>4</v>
      </c>
      <c r="B26" s="70" t="s">
        <v>5</v>
      </c>
      <c r="C26" s="70" t="s">
        <v>6</v>
      </c>
      <c r="D26" s="70" t="s">
        <v>7</v>
      </c>
      <c r="E26" s="70" t="s">
        <v>8</v>
      </c>
      <c r="F26" s="70" t="s">
        <v>9</v>
      </c>
      <c r="G26" s="70" t="s">
        <v>10</v>
      </c>
      <c r="H26" s="2"/>
      <c r="I26" s="2"/>
      <c r="J26" s="71" t="s">
        <v>45</v>
      </c>
      <c r="K26" s="72">
        <f>SUM(K4:K15,K18:K25)</f>
        <v>11</v>
      </c>
      <c r="L26" s="72">
        <f>SUM(L4:L25)</f>
        <v>4</v>
      </c>
      <c r="M26" s="71"/>
      <c r="N26" s="71"/>
      <c r="O26" s="71"/>
      <c r="P26" s="73">
        <f>SUM(P4:P25)</f>
        <v>1699240</v>
      </c>
      <c r="Q26" s="2"/>
      <c r="R26" s="2"/>
      <c r="S26" s="74" t="s">
        <v>45</v>
      </c>
      <c r="T26" s="75">
        <f>T4+T5+T6+T15+T16</f>
        <v>18</v>
      </c>
      <c r="U26" s="75">
        <f>SUM(U4:U7,U22)</f>
        <v>4</v>
      </c>
      <c r="V26" s="74"/>
      <c r="W26" s="74"/>
      <c r="X26" s="74"/>
      <c r="Y26" s="76">
        <f>SUM(Y4:Y24)</f>
        <v>3558877</v>
      </c>
      <c r="AA26" s="77"/>
      <c r="AB26" s="77"/>
      <c r="AC26" s="77"/>
      <c r="AD26" s="77"/>
      <c r="AE26" s="78"/>
    </row>
    <row r="27" spans="1:31" ht="15.75" x14ac:dyDescent="0.2">
      <c r="A27" s="79" t="s">
        <v>46</v>
      </c>
      <c r="B27" s="11" t="str">
        <f>+IF(F27=0,0,MID(F27,LEN(F27)-3,1))</f>
        <v>3</v>
      </c>
      <c r="C27" s="12">
        <v>1</v>
      </c>
      <c r="D27" s="12" t="s">
        <v>13</v>
      </c>
      <c r="E27" s="13" t="str">
        <f>+IF(F27=0,0,CONCATENATE(MID(F27,FIND("-",F27,1)+1,4),"ORAS"))</f>
        <v>15 HORAS</v>
      </c>
      <c r="F27" s="14" t="s">
        <v>21</v>
      </c>
      <c r="G27" s="239">
        <f>+IF(F27="","",VLOOKUP(F27,$H$140:I$192,2,FALSE))</f>
        <v>514916</v>
      </c>
      <c r="H27" s="2"/>
      <c r="I27" s="2"/>
      <c r="J27" s="2"/>
      <c r="K27" s="2"/>
      <c r="L27" s="2"/>
      <c r="M27" s="2"/>
      <c r="N27" s="2"/>
      <c r="O27" s="2"/>
      <c r="P27" s="2"/>
      <c r="Q27" s="2"/>
      <c r="R27" s="2"/>
      <c r="S27" s="2"/>
      <c r="T27" s="2"/>
      <c r="U27" s="2"/>
      <c r="V27" s="2"/>
      <c r="W27" s="2"/>
      <c r="X27" s="2"/>
      <c r="Y27" s="2"/>
      <c r="AA27" s="23"/>
      <c r="AB27" s="23"/>
      <c r="AC27" s="23"/>
      <c r="AD27" s="23"/>
      <c r="AE27" s="23"/>
    </row>
    <row r="28" spans="1:31" ht="20.100000000000001" customHeight="1" x14ac:dyDescent="0.2">
      <c r="A28" s="79" t="s">
        <v>47</v>
      </c>
      <c r="B28" s="51" t="str">
        <f>+IF(F28=0,0,MID(F28,LEN(F28)-3,1))</f>
        <v>4</v>
      </c>
      <c r="C28" s="80">
        <v>1</v>
      </c>
      <c r="D28" s="22" t="s">
        <v>13</v>
      </c>
      <c r="E28" s="13" t="str">
        <f>+IF(F28=0,0,CONCATENATE(MID(F28,FIND("-",F28,1)+1,4),"ORAS"))</f>
        <v>15 HORAS</v>
      </c>
      <c r="F28" s="14" t="s">
        <v>14</v>
      </c>
      <c r="G28" s="239">
        <f>+IF(F28="","",VLOOKUP(F28,$H$140:I$192,2,FALSE))</f>
        <v>582964</v>
      </c>
      <c r="H28" s="2"/>
      <c r="I28" s="2"/>
      <c r="J28" s="2"/>
      <c r="K28" s="2"/>
      <c r="L28" s="2"/>
      <c r="M28" s="2"/>
      <c r="N28" s="2"/>
      <c r="O28" s="2"/>
      <c r="P28" s="2"/>
      <c r="Q28" s="2"/>
      <c r="R28" s="2"/>
      <c r="S28" s="2"/>
      <c r="T28" s="2"/>
      <c r="U28" s="2"/>
      <c r="V28" s="2"/>
      <c r="W28" s="2"/>
      <c r="X28" s="2"/>
      <c r="Y28" s="2"/>
    </row>
    <row r="29" spans="1:31" ht="15.75" customHeight="1" x14ac:dyDescent="0.2">
      <c r="A29" s="79" t="s">
        <v>48</v>
      </c>
      <c r="B29" s="51" t="str">
        <f>+IF(F29=0,0,MID(F29,LEN(F29)-3,1))</f>
        <v>3</v>
      </c>
      <c r="C29" s="80">
        <v>1</v>
      </c>
      <c r="D29" s="22" t="s">
        <v>13</v>
      </c>
      <c r="E29" s="13" t="str">
        <f>+IF(F29=0,0,CONCATENATE(MID(F29,FIND("-",F29,1)+1,4),"ORAS"))</f>
        <v>15 HORAS</v>
      </c>
      <c r="F29" s="14" t="s">
        <v>21</v>
      </c>
      <c r="G29" s="239">
        <f>+IF(F29="","",VLOOKUP(F29,$H$140:I$192,2,FALSE))</f>
        <v>514916</v>
      </c>
      <c r="H29" s="2"/>
      <c r="I29" s="2"/>
      <c r="J29" s="2"/>
      <c r="K29" s="2"/>
      <c r="L29" s="2"/>
      <c r="M29" s="2"/>
      <c r="N29" s="2"/>
      <c r="O29" s="2"/>
      <c r="P29" s="2"/>
      <c r="Q29" s="2"/>
      <c r="R29" s="2"/>
      <c r="S29" s="2"/>
      <c r="T29" s="2"/>
      <c r="U29" s="2"/>
      <c r="V29" s="2"/>
      <c r="W29" s="2"/>
      <c r="X29" s="2"/>
      <c r="Y29" s="2"/>
    </row>
    <row r="30" spans="1:31" ht="15.75" x14ac:dyDescent="0.2">
      <c r="A30" s="79" t="s">
        <v>49</v>
      </c>
      <c r="B30" s="51">
        <v>3</v>
      </c>
      <c r="C30" s="80">
        <v>1</v>
      </c>
      <c r="D30" s="22" t="s">
        <v>13</v>
      </c>
      <c r="E30" s="13" t="str">
        <f t="shared" ref="E30" si="2">+IF(F30=0,0,CONCATENATE(MID(F30,FIND("-",F30,1)+1,4),"ORAS"))</f>
        <v>15 HORAS</v>
      </c>
      <c r="F30" s="14" t="s">
        <v>21</v>
      </c>
      <c r="G30" s="239">
        <f>+IF(F30="","",VLOOKUP(F30,$H$140:I$192,2,FALSE))</f>
        <v>514916</v>
      </c>
      <c r="H30" s="2"/>
      <c r="I30" s="2"/>
      <c r="J30" s="2"/>
      <c r="K30" s="2"/>
      <c r="L30" s="2"/>
      <c r="M30" s="2"/>
      <c r="N30" s="2"/>
      <c r="O30" s="2"/>
      <c r="P30" s="2"/>
      <c r="Q30" s="2"/>
      <c r="R30" s="2"/>
      <c r="S30" s="2"/>
      <c r="T30" s="2"/>
      <c r="U30" s="2"/>
      <c r="V30" s="2"/>
      <c r="W30" s="2"/>
      <c r="X30" s="2"/>
      <c r="Y30" s="2"/>
    </row>
    <row r="31" spans="1:31" ht="15.75" x14ac:dyDescent="0.2">
      <c r="A31" s="81"/>
      <c r="B31" s="51"/>
      <c r="C31" s="80"/>
      <c r="D31" s="22"/>
      <c r="E31" s="13"/>
      <c r="F31" s="57"/>
      <c r="G31" s="30"/>
      <c r="H31" s="2"/>
      <c r="I31" s="2"/>
      <c r="J31" s="2"/>
      <c r="K31" s="2"/>
      <c r="L31" s="2"/>
      <c r="M31" s="2"/>
      <c r="N31" s="2"/>
      <c r="O31" s="2"/>
      <c r="P31" s="2"/>
      <c r="Q31" s="2"/>
      <c r="R31" s="2"/>
      <c r="S31" s="2"/>
      <c r="T31" s="2"/>
      <c r="U31" s="2"/>
      <c r="V31" s="2"/>
      <c r="W31" s="2"/>
      <c r="X31" s="2"/>
      <c r="Y31" s="2"/>
    </row>
    <row r="32" spans="1:31" ht="15.75" x14ac:dyDescent="0.2">
      <c r="A32" s="81"/>
      <c r="B32" s="80"/>
      <c r="C32" s="80"/>
      <c r="D32" s="22"/>
      <c r="E32" s="13"/>
      <c r="F32" s="57"/>
      <c r="G32" s="30"/>
      <c r="H32" s="2"/>
      <c r="I32" s="2"/>
      <c r="J32" s="2"/>
      <c r="K32" s="2"/>
      <c r="L32" s="2"/>
      <c r="M32" s="2"/>
      <c r="N32" s="2"/>
      <c r="O32" s="2"/>
      <c r="P32" s="2"/>
      <c r="Q32" s="2"/>
      <c r="R32" s="2"/>
      <c r="S32" s="2"/>
      <c r="T32" s="2"/>
      <c r="U32" s="2"/>
      <c r="V32" s="2"/>
      <c r="W32" s="2"/>
      <c r="X32" s="2"/>
      <c r="Y32" s="2"/>
    </row>
    <row r="33" spans="1:25" ht="15.75" x14ac:dyDescent="0.2">
      <c r="A33" s="372" t="s">
        <v>33</v>
      </c>
      <c r="B33" s="372"/>
      <c r="C33" s="372"/>
      <c r="D33" s="372"/>
      <c r="E33" s="372"/>
      <c r="F33" s="372"/>
      <c r="G33" s="372"/>
      <c r="H33" s="2"/>
      <c r="I33" s="2"/>
      <c r="J33" s="2"/>
      <c r="K33" s="2"/>
      <c r="L33" s="2"/>
      <c r="M33" s="2"/>
      <c r="N33" s="2"/>
      <c r="O33" s="2"/>
      <c r="P33" s="2"/>
      <c r="Q33" s="2"/>
      <c r="R33" s="2"/>
      <c r="S33" s="2"/>
      <c r="T33" s="2"/>
      <c r="U33" s="2"/>
      <c r="V33" s="2"/>
      <c r="W33" s="2"/>
      <c r="X33" s="2"/>
      <c r="Y33" s="2"/>
    </row>
    <row r="34" spans="1:25" ht="15.75" x14ac:dyDescent="0.2">
      <c r="A34" s="64"/>
      <c r="B34" s="70" t="s">
        <v>5</v>
      </c>
      <c r="C34" s="70" t="s">
        <v>6</v>
      </c>
      <c r="D34" s="70" t="s">
        <v>7</v>
      </c>
      <c r="E34" s="70"/>
      <c r="F34" s="70" t="s">
        <v>9</v>
      </c>
      <c r="G34" s="70" t="s">
        <v>10</v>
      </c>
      <c r="H34" s="2"/>
      <c r="I34" s="2"/>
      <c r="J34" s="2"/>
      <c r="K34" s="2"/>
      <c r="L34" s="2"/>
      <c r="M34" s="2"/>
      <c r="N34" s="2"/>
      <c r="O34" s="2"/>
      <c r="P34" s="2"/>
      <c r="Q34" s="2"/>
      <c r="R34" s="2"/>
      <c r="S34" s="2"/>
      <c r="T34" s="2"/>
      <c r="U34" s="2"/>
      <c r="V34" s="2"/>
      <c r="W34" s="2"/>
      <c r="X34" s="2"/>
      <c r="Y34" s="82"/>
    </row>
    <row r="35" spans="1:25" ht="15.75" x14ac:dyDescent="0.25">
      <c r="A35" s="10" t="s">
        <v>50</v>
      </c>
      <c r="B35" s="51" t="str">
        <f>+IF(F35=0,0,MID(F35,LEN(F35)-3,1))</f>
        <v>3</v>
      </c>
      <c r="C35" s="325">
        <v>1</v>
      </c>
      <c r="D35" s="22" t="s">
        <v>13</v>
      </c>
      <c r="E35" s="13" t="str">
        <f>+IF(F35=0,0,CONCATENATE(MID(F35,FIND("-",F35,1)+1,4),"ORAS"))</f>
        <v>15 HORAS</v>
      </c>
      <c r="F35" s="14" t="s">
        <v>17</v>
      </c>
      <c r="G35" s="239">
        <f>+IF(F35="","",VLOOKUP(F35,$H$140:I$192,2,FALSE))</f>
        <v>443323</v>
      </c>
      <c r="H35" s="2"/>
      <c r="I35" s="2"/>
      <c r="J35" s="2"/>
      <c r="K35" s="2"/>
      <c r="L35" s="2"/>
      <c r="M35" s="2"/>
      <c r="N35" s="2"/>
      <c r="O35" s="2"/>
      <c r="P35" s="2"/>
      <c r="Q35" s="2"/>
      <c r="R35" s="2"/>
      <c r="S35" s="2"/>
      <c r="T35" s="2"/>
      <c r="U35" s="2"/>
      <c r="V35" s="2"/>
      <c r="W35" s="2"/>
      <c r="X35" s="2"/>
      <c r="Y35" s="82"/>
    </row>
    <row r="36" spans="1:25" ht="15.75" x14ac:dyDescent="0.25">
      <c r="A36" s="79" t="s">
        <v>51</v>
      </c>
      <c r="B36" s="51" t="str">
        <f>+IF(F36=0,0,MID(F36,LEN(F36)-3,1))</f>
        <v>3</v>
      </c>
      <c r="C36" s="325">
        <v>1</v>
      </c>
      <c r="D36" s="22" t="s">
        <v>13</v>
      </c>
      <c r="E36" s="13" t="str">
        <f>+IF(F36=0,0,CONCATENATE(MID(F36,FIND("-",F36,1)+1,4),"ORAS"))</f>
        <v>15 HORAS</v>
      </c>
      <c r="F36" s="14" t="s">
        <v>17</v>
      </c>
      <c r="G36" s="239">
        <f>+IF(F36="","",VLOOKUP(F36,$H$140:I$192,2,FALSE))</f>
        <v>443323</v>
      </c>
      <c r="H36" s="2"/>
      <c r="I36" s="2"/>
      <c r="J36" s="2"/>
      <c r="K36" s="2"/>
      <c r="L36" s="2"/>
      <c r="M36" s="2"/>
      <c r="N36" s="2"/>
      <c r="O36" s="2"/>
      <c r="P36" s="2"/>
      <c r="Q36" s="2"/>
      <c r="R36" s="2"/>
      <c r="S36" s="2"/>
      <c r="T36" s="2"/>
      <c r="U36" s="2"/>
      <c r="V36" s="2"/>
      <c r="W36" s="2"/>
      <c r="X36" s="2"/>
      <c r="Y36" s="2"/>
    </row>
    <row r="37" spans="1:25" ht="15.75" x14ac:dyDescent="0.25">
      <c r="A37" s="79" t="s">
        <v>52</v>
      </c>
      <c r="B37" s="51" t="str">
        <f>+IF(F37=0,0,MID(F37,LEN(F37)-3,1))</f>
        <v>3</v>
      </c>
      <c r="C37" s="325">
        <v>1</v>
      </c>
      <c r="D37" s="22" t="s">
        <v>13</v>
      </c>
      <c r="E37" s="13" t="str">
        <f>+IF(F37=0,0,CONCATENATE(MID(F37,FIND("-",F37,1)+1,4),"ORAS"))</f>
        <v>15 HORAS</v>
      </c>
      <c r="F37" s="14" t="s">
        <v>17</v>
      </c>
      <c r="G37" s="239">
        <f>+IF(F37="","",VLOOKUP(F37,$H$140:I$192,2,FALSE))</f>
        <v>443323</v>
      </c>
      <c r="H37" s="2"/>
      <c r="I37" s="2"/>
      <c r="J37" s="2"/>
      <c r="K37" s="2"/>
      <c r="L37" s="2"/>
      <c r="M37" s="2"/>
      <c r="N37" s="2"/>
      <c r="O37" s="2"/>
      <c r="P37" s="2"/>
      <c r="Q37" s="2"/>
      <c r="R37" s="2"/>
      <c r="S37" s="2"/>
      <c r="T37" s="2"/>
      <c r="U37" s="2"/>
      <c r="V37" s="2"/>
      <c r="W37" s="2"/>
      <c r="X37" s="2"/>
      <c r="Y37" s="2"/>
    </row>
    <row r="38" spans="1:25" ht="15.75" x14ac:dyDescent="0.25">
      <c r="A38" s="34" t="s">
        <v>53</v>
      </c>
      <c r="B38" s="51" t="str">
        <f>+IF(F38=0,0,MID(F38,LEN(F38)-3,1))</f>
        <v>3</v>
      </c>
      <c r="C38" s="325">
        <v>1</v>
      </c>
      <c r="D38" s="22" t="s">
        <v>13</v>
      </c>
      <c r="E38" s="13" t="str">
        <f>+IF(F38=0,0,CONCATENATE(MID(F38,FIND("-",F38,1)+1,4),"ORAS"))</f>
        <v>15 HORAS</v>
      </c>
      <c r="F38" s="14" t="s">
        <v>17</v>
      </c>
      <c r="G38" s="239">
        <f>+IF(F38="","",VLOOKUP(F38,$H$140:I$192,2,FALSE))</f>
        <v>443323</v>
      </c>
      <c r="H38" s="2"/>
      <c r="I38" s="2"/>
      <c r="J38" s="2"/>
      <c r="K38" s="2"/>
      <c r="L38" s="2"/>
      <c r="M38" s="2"/>
      <c r="N38" s="2"/>
      <c r="O38" s="2"/>
      <c r="P38" s="2"/>
      <c r="Q38" s="2"/>
      <c r="R38" s="2"/>
      <c r="S38" s="2"/>
      <c r="T38" s="2"/>
      <c r="U38" s="2"/>
      <c r="V38" s="2"/>
      <c r="W38" s="2"/>
      <c r="X38" s="2"/>
      <c r="Y38" s="2"/>
    </row>
    <row r="39" spans="1:25" ht="15.75" x14ac:dyDescent="0.25">
      <c r="A39" s="84"/>
      <c r="B39" s="51"/>
      <c r="C39" s="325"/>
      <c r="D39" s="22"/>
      <c r="E39" s="13">
        <f>+IF(F39=0,0,CONCATENATE(MID(F39,FIND("-",F39,1)+1,4),"ORAS"))</f>
        <v>0</v>
      </c>
      <c r="F39" s="14">
        <v>0</v>
      </c>
      <c r="G39" s="19">
        <f>+IF(F39="","",VLOOKUP(F39,$H$140:I$192,2,FALSE))</f>
        <v>0</v>
      </c>
      <c r="H39" s="2"/>
      <c r="I39" s="2"/>
      <c r="J39" s="2"/>
      <c r="K39" s="2"/>
      <c r="L39" s="2"/>
      <c r="M39" s="2"/>
      <c r="N39" s="2"/>
      <c r="O39" s="2"/>
      <c r="P39" s="2"/>
      <c r="Q39" s="2"/>
      <c r="R39" s="2"/>
      <c r="S39" s="2"/>
      <c r="T39" s="2"/>
      <c r="U39" s="2"/>
      <c r="V39" s="2"/>
      <c r="W39" s="2"/>
      <c r="X39" s="2"/>
      <c r="Y39" s="2"/>
    </row>
    <row r="40" spans="1:25" ht="15.75" x14ac:dyDescent="0.2">
      <c r="A40" s="85"/>
      <c r="B40" s="16"/>
      <c r="C40" s="86"/>
      <c r="D40" s="43"/>
      <c r="E40" s="13"/>
      <c r="F40" s="57"/>
      <c r="G40" s="30"/>
      <c r="H40" s="2"/>
      <c r="I40" s="2"/>
      <c r="J40" s="2"/>
      <c r="K40" s="2"/>
      <c r="L40" s="2"/>
      <c r="M40" s="2"/>
      <c r="N40" s="2"/>
      <c r="O40" s="2"/>
      <c r="P40" s="2"/>
      <c r="Q40" s="2"/>
      <c r="R40" s="2"/>
      <c r="S40" s="2"/>
      <c r="T40" s="2"/>
      <c r="U40" s="2"/>
      <c r="V40" s="2"/>
      <c r="W40" s="2"/>
      <c r="X40" s="2"/>
      <c r="Y40" s="2"/>
    </row>
    <row r="41" spans="1:25" ht="15.75" x14ac:dyDescent="0.2">
      <c r="A41" s="60" t="s">
        <v>42</v>
      </c>
      <c r="B41" s="61">
        <f>+B27+B28+B29+B35+B36+B37+B38+B39+B30</f>
        <v>25</v>
      </c>
      <c r="C41" s="62">
        <f>SUM(C27:C32)+C35+C36+C37+C38+C39+C40</f>
        <v>8</v>
      </c>
      <c r="D41" s="62"/>
      <c r="E41" s="13">
        <f>+IF(F41=0,0,CONCATENATE(MID(F41,FIND("-",F41,1)+1,3),"ORAS"))</f>
        <v>0</v>
      </c>
      <c r="F41" s="62"/>
      <c r="G41" s="44">
        <f>SUM(G27:G32,G35:G40)</f>
        <v>3901004</v>
      </c>
      <c r="H41" s="2"/>
      <c r="I41" s="2"/>
      <c r="J41" s="2"/>
      <c r="K41" s="2"/>
      <c r="L41" s="2"/>
      <c r="M41" s="2"/>
      <c r="N41" s="2"/>
      <c r="O41" s="2"/>
      <c r="P41" s="2"/>
      <c r="Q41" s="2"/>
      <c r="R41" s="2"/>
      <c r="S41" s="2"/>
      <c r="T41" s="2"/>
      <c r="U41" s="2"/>
      <c r="V41" s="2"/>
      <c r="W41" s="2"/>
      <c r="X41" s="2"/>
      <c r="Y41" s="2"/>
    </row>
    <row r="42" spans="1:25" ht="15.75" x14ac:dyDescent="0.2">
      <c r="A42" s="373" t="s">
        <v>54</v>
      </c>
      <c r="B42" s="373"/>
      <c r="C42" s="373"/>
      <c r="D42" s="373"/>
      <c r="E42" s="373"/>
      <c r="F42" s="373"/>
      <c r="G42" s="373"/>
      <c r="H42" s="2"/>
      <c r="I42" s="2"/>
      <c r="J42" s="2"/>
      <c r="K42" s="2"/>
      <c r="L42" s="2"/>
      <c r="M42" s="2"/>
      <c r="N42" s="2"/>
      <c r="O42" s="2"/>
      <c r="P42" s="2"/>
      <c r="Q42" s="2"/>
      <c r="R42" s="2"/>
      <c r="S42" s="2"/>
      <c r="T42" s="2"/>
      <c r="U42" s="2"/>
      <c r="V42" s="2"/>
      <c r="W42" s="2"/>
      <c r="X42" s="2"/>
      <c r="Y42" s="2"/>
    </row>
    <row r="43" spans="1:25" ht="15.75" x14ac:dyDescent="0.2">
      <c r="A43" s="373" t="s">
        <v>1</v>
      </c>
      <c r="B43" s="373"/>
      <c r="C43" s="373"/>
      <c r="D43" s="373"/>
      <c r="E43" s="373"/>
      <c r="F43" s="373"/>
      <c r="G43" s="373"/>
      <c r="H43" s="2"/>
      <c r="I43" s="2"/>
      <c r="J43" s="2"/>
      <c r="K43" s="2"/>
      <c r="L43" s="2"/>
      <c r="M43" s="2"/>
      <c r="N43" s="2"/>
      <c r="O43" s="2"/>
      <c r="P43" s="2"/>
      <c r="Q43" s="2"/>
      <c r="R43" s="2"/>
      <c r="S43" s="2"/>
      <c r="T43" s="2"/>
      <c r="U43" s="2"/>
      <c r="V43" s="2"/>
      <c r="W43" s="2"/>
      <c r="X43" s="2"/>
      <c r="Y43" s="2"/>
    </row>
    <row r="44" spans="1:25" ht="15.75" x14ac:dyDescent="0.2">
      <c r="A44" s="87" t="s">
        <v>4</v>
      </c>
      <c r="B44" s="88" t="s">
        <v>5</v>
      </c>
      <c r="C44" s="88" t="s">
        <v>6</v>
      </c>
      <c r="D44" s="88" t="s">
        <v>7</v>
      </c>
      <c r="E44" s="88" t="s">
        <v>8</v>
      </c>
      <c r="F44" s="88" t="s">
        <v>9</v>
      </c>
      <c r="G44" s="88" t="s">
        <v>10</v>
      </c>
      <c r="H44" s="2"/>
      <c r="I44" s="2"/>
      <c r="J44" s="2"/>
      <c r="K44" s="2"/>
      <c r="L44" s="2"/>
      <c r="M44" s="2"/>
      <c r="N44" s="2"/>
      <c r="O44" s="2"/>
      <c r="P44" s="2"/>
      <c r="Q44" s="2"/>
      <c r="R44" s="2"/>
      <c r="S44" s="2"/>
      <c r="T44" s="2"/>
      <c r="U44" s="2"/>
      <c r="V44" s="2"/>
      <c r="W44" s="2"/>
      <c r="X44" s="2"/>
      <c r="Y44" s="2"/>
    </row>
    <row r="45" spans="1:25" ht="15.75" x14ac:dyDescent="0.2">
      <c r="A45" s="89"/>
      <c r="B45" s="90"/>
      <c r="C45" s="90"/>
      <c r="D45" s="91"/>
      <c r="E45" s="91"/>
      <c r="F45" s="91"/>
      <c r="G45" s="92"/>
      <c r="H45" s="2"/>
      <c r="I45" s="2"/>
      <c r="J45" s="2"/>
      <c r="K45" s="2"/>
      <c r="L45" s="2"/>
      <c r="M45" s="2"/>
      <c r="N45" s="2"/>
      <c r="O45" s="2"/>
      <c r="P45" s="2"/>
      <c r="Q45" s="2"/>
      <c r="R45" s="2"/>
      <c r="S45" s="2"/>
      <c r="T45" s="2"/>
      <c r="U45" s="2"/>
      <c r="V45" s="2"/>
      <c r="W45" s="2"/>
      <c r="X45" s="2"/>
      <c r="Y45" s="2"/>
    </row>
    <row r="46" spans="1:25" ht="1.5" customHeight="1" x14ac:dyDescent="0.2">
      <c r="A46" s="89"/>
      <c r="B46" s="90"/>
      <c r="C46" s="90"/>
      <c r="D46" s="90"/>
      <c r="E46" s="90"/>
      <c r="F46" s="90"/>
      <c r="G46" s="90"/>
      <c r="H46" s="2"/>
      <c r="I46" s="2"/>
      <c r="J46" s="2"/>
      <c r="K46" s="2"/>
      <c r="L46" s="2"/>
      <c r="M46" s="2"/>
      <c r="N46" s="2"/>
      <c r="O46" s="2"/>
      <c r="P46" s="2"/>
      <c r="Q46" s="2"/>
      <c r="R46" s="2"/>
      <c r="S46" s="2"/>
      <c r="T46" s="2"/>
      <c r="U46" s="2"/>
      <c r="V46" s="2"/>
      <c r="W46" s="2"/>
      <c r="X46" s="2"/>
      <c r="Y46" s="2"/>
    </row>
    <row r="47" spans="1:25" ht="15.75" x14ac:dyDescent="0.25">
      <c r="A47" s="53"/>
      <c r="B47" s="16"/>
      <c r="C47" s="325"/>
      <c r="D47" s="22"/>
      <c r="E47" s="13"/>
      <c r="F47" s="57"/>
      <c r="G47" s="57"/>
      <c r="H47" s="2"/>
      <c r="I47" s="2"/>
      <c r="J47" s="374"/>
      <c r="K47" s="374"/>
      <c r="L47" s="374"/>
      <c r="M47" s="374"/>
      <c r="N47" s="374"/>
      <c r="O47" s="374"/>
      <c r="P47" s="374"/>
      <c r="Q47" s="2"/>
      <c r="R47" s="2"/>
      <c r="S47" s="2"/>
      <c r="T47" s="2"/>
      <c r="U47" s="2"/>
      <c r="V47" s="2"/>
      <c r="W47" s="2"/>
      <c r="X47" s="2"/>
      <c r="Y47" s="2"/>
    </row>
    <row r="48" spans="1:25" ht="15.75" x14ac:dyDescent="0.2">
      <c r="A48" s="93"/>
      <c r="B48" s="16"/>
      <c r="C48" s="57"/>
      <c r="D48" s="57"/>
      <c r="E48" s="13"/>
      <c r="F48" s="57"/>
      <c r="G48" s="57"/>
      <c r="H48" s="2"/>
      <c r="I48" s="2"/>
      <c r="J48" s="374"/>
      <c r="K48" s="374"/>
      <c r="L48" s="374"/>
      <c r="M48" s="374"/>
      <c r="N48" s="374"/>
      <c r="O48" s="374"/>
      <c r="P48" s="374"/>
      <c r="Q48" s="2"/>
      <c r="R48" s="2"/>
      <c r="S48" s="2"/>
      <c r="T48" s="2"/>
      <c r="U48" s="2"/>
      <c r="V48" s="2"/>
      <c r="W48" s="2"/>
      <c r="X48" s="2"/>
      <c r="Y48" s="2"/>
    </row>
    <row r="49" spans="1:25" ht="15.75" x14ac:dyDescent="0.2">
      <c r="A49" s="93"/>
      <c r="B49" s="16"/>
      <c r="C49" s="57"/>
      <c r="D49" s="57"/>
      <c r="E49" s="13"/>
      <c r="F49" s="57"/>
      <c r="G49" s="57"/>
      <c r="H49" s="2"/>
      <c r="I49" s="2"/>
      <c r="J49" s="374"/>
      <c r="K49" s="374"/>
      <c r="L49" s="374"/>
      <c r="M49" s="374"/>
      <c r="N49" s="374"/>
      <c r="O49" s="374"/>
      <c r="P49" s="374"/>
      <c r="Q49" s="2"/>
      <c r="R49" s="2"/>
      <c r="S49" s="2"/>
      <c r="T49" s="2"/>
      <c r="U49" s="2"/>
      <c r="V49" s="2"/>
      <c r="W49" s="2"/>
      <c r="X49" s="2"/>
      <c r="Y49" s="2"/>
    </row>
    <row r="50" spans="1:25" ht="15.75" x14ac:dyDescent="0.2">
      <c r="A50" s="93"/>
      <c r="B50" s="16"/>
      <c r="C50" s="57"/>
      <c r="D50" s="57"/>
      <c r="E50" s="13"/>
      <c r="F50" s="57"/>
      <c r="G50" s="57"/>
      <c r="H50" s="2"/>
      <c r="I50" s="2"/>
      <c r="J50" s="374"/>
      <c r="K50" s="374"/>
      <c r="L50" s="374"/>
      <c r="M50" s="374"/>
      <c r="N50" s="374"/>
      <c r="O50" s="374"/>
      <c r="P50" s="374"/>
      <c r="Q50" s="2"/>
      <c r="R50" s="2"/>
      <c r="S50" s="2"/>
      <c r="T50" s="2"/>
      <c r="U50" s="2"/>
      <c r="V50" s="2"/>
      <c r="W50" s="2"/>
      <c r="X50" s="2"/>
      <c r="Y50" s="2"/>
    </row>
    <row r="51" spans="1:25" ht="15.75" x14ac:dyDescent="0.2">
      <c r="A51" s="93"/>
      <c r="B51" s="57"/>
      <c r="C51" s="57"/>
      <c r="D51" s="57"/>
      <c r="E51" s="13"/>
      <c r="F51" s="57"/>
      <c r="G51" s="57"/>
      <c r="H51" s="2"/>
      <c r="I51" s="2"/>
      <c r="J51" s="374"/>
      <c r="K51" s="374"/>
      <c r="L51" s="374"/>
      <c r="M51" s="374"/>
      <c r="N51" s="374"/>
      <c r="O51" s="374"/>
      <c r="P51" s="374"/>
      <c r="Q51" s="2"/>
      <c r="R51" s="2"/>
      <c r="S51" s="2"/>
      <c r="T51" s="2"/>
      <c r="U51" s="2"/>
      <c r="V51" s="2"/>
      <c r="W51" s="2"/>
      <c r="X51" s="2"/>
      <c r="Y51" s="2"/>
    </row>
    <row r="52" spans="1:25" ht="15.75" x14ac:dyDescent="0.2">
      <c r="A52" s="93"/>
      <c r="B52" s="57"/>
      <c r="C52" s="57"/>
      <c r="D52" s="57"/>
      <c r="E52" s="13"/>
      <c r="F52" s="57"/>
      <c r="G52" s="57"/>
      <c r="H52" s="2"/>
      <c r="I52" s="2"/>
      <c r="J52" s="374"/>
      <c r="K52" s="374"/>
      <c r="L52" s="374"/>
      <c r="M52" s="374"/>
      <c r="N52" s="374"/>
      <c r="O52" s="374"/>
      <c r="P52" s="374"/>
      <c r="Q52" s="2"/>
      <c r="R52" s="2"/>
      <c r="S52" s="2"/>
      <c r="T52" s="2"/>
      <c r="U52" s="2"/>
      <c r="V52" s="2"/>
      <c r="W52" s="2"/>
      <c r="X52" s="2"/>
      <c r="Y52" s="2"/>
    </row>
    <row r="53" spans="1:25" ht="15.75" x14ac:dyDescent="0.2">
      <c r="A53" s="376" t="s">
        <v>33</v>
      </c>
      <c r="B53" s="376"/>
      <c r="C53" s="376"/>
      <c r="D53" s="376"/>
      <c r="E53" s="376"/>
      <c r="F53" s="376"/>
      <c r="G53" s="376"/>
      <c r="H53" s="2"/>
      <c r="I53" s="2"/>
      <c r="J53" s="374"/>
      <c r="K53" s="374"/>
      <c r="L53" s="374"/>
      <c r="M53" s="374"/>
      <c r="N53" s="374"/>
      <c r="O53" s="374"/>
      <c r="P53" s="374"/>
      <c r="Q53" s="2"/>
      <c r="R53" s="2"/>
      <c r="S53" s="2"/>
      <c r="T53" s="2"/>
      <c r="U53" s="2"/>
      <c r="V53" s="2"/>
      <c r="W53" s="2"/>
      <c r="X53" s="2"/>
      <c r="Y53" s="2"/>
    </row>
    <row r="54" spans="1:25" ht="15.75" x14ac:dyDescent="0.2">
      <c r="A54" s="87" t="s">
        <v>4</v>
      </c>
      <c r="B54" s="88" t="s">
        <v>5</v>
      </c>
      <c r="C54" s="88" t="s">
        <v>6</v>
      </c>
      <c r="D54" s="88" t="s">
        <v>7</v>
      </c>
      <c r="E54" s="88" t="s">
        <v>8</v>
      </c>
      <c r="F54" s="88" t="s">
        <v>9</v>
      </c>
      <c r="G54" s="88" t="s">
        <v>10</v>
      </c>
      <c r="H54" s="2"/>
      <c r="I54" s="2"/>
      <c r="J54" s="374"/>
      <c r="K54" s="374"/>
      <c r="L54" s="374"/>
      <c r="M54" s="374"/>
      <c r="N54" s="374"/>
      <c r="O54" s="374"/>
      <c r="P54" s="374"/>
      <c r="Q54" s="2"/>
      <c r="R54" s="2"/>
      <c r="S54" s="2"/>
      <c r="T54" s="2"/>
      <c r="U54" s="2"/>
      <c r="V54" s="2"/>
      <c r="W54" s="2"/>
      <c r="X54" s="2"/>
      <c r="Y54" s="2"/>
    </row>
    <row r="55" spans="1:25" ht="15.75" x14ac:dyDescent="0.25">
      <c r="A55" s="53" t="s">
        <v>55</v>
      </c>
      <c r="B55" s="94" t="str">
        <f t="shared" ref="B55:B57" si="3">+IF(F55=0,0,MID(F55,LEN(F55)-3,1))</f>
        <v>3</v>
      </c>
      <c r="C55" s="325">
        <v>1</v>
      </c>
      <c r="D55" s="22" t="s">
        <v>13</v>
      </c>
      <c r="E55" s="13" t="str">
        <f t="shared" ref="E55:E64" si="4">+IF(F55=0,0,CONCATENATE(MID(F55,FIND("-",F55,1)+1,4),"ORAS"))</f>
        <v>15 HORAS</v>
      </c>
      <c r="F55" s="14" t="s">
        <v>17</v>
      </c>
      <c r="G55" s="239">
        <f>+IF(F55="","",VLOOKUP(F55,$H$140:I$192,2,FALSE))</f>
        <v>443323</v>
      </c>
      <c r="H55" s="2"/>
      <c r="I55" s="2"/>
      <c r="J55" s="374"/>
      <c r="K55" s="374"/>
      <c r="L55" s="374"/>
      <c r="M55" s="374"/>
      <c r="N55" s="374"/>
      <c r="O55" s="374"/>
      <c r="P55" s="374"/>
      <c r="Q55" s="2"/>
      <c r="R55" s="2"/>
      <c r="S55" s="2"/>
      <c r="T55" s="2"/>
      <c r="U55" s="2"/>
      <c r="V55" s="2"/>
      <c r="W55" s="2"/>
      <c r="X55" s="2"/>
      <c r="Y55" s="2"/>
    </row>
    <row r="56" spans="1:25" ht="15.75" x14ac:dyDescent="0.25">
      <c r="A56" s="53" t="s">
        <v>56</v>
      </c>
      <c r="B56" s="94" t="str">
        <f t="shared" si="3"/>
        <v>3</v>
      </c>
      <c r="C56" s="325">
        <v>1</v>
      </c>
      <c r="D56" s="22" t="s">
        <v>13</v>
      </c>
      <c r="E56" s="13" t="str">
        <f t="shared" si="4"/>
        <v>15 HORAS</v>
      </c>
      <c r="F56" s="14" t="s">
        <v>17</v>
      </c>
      <c r="G56" s="239">
        <f>+IF(F56="","",VLOOKUP(F56,$H$140:I$192,2,FALSE))</f>
        <v>443323</v>
      </c>
      <c r="H56" s="2"/>
      <c r="I56" s="2"/>
      <c r="J56" s="374"/>
      <c r="K56" s="374"/>
      <c r="L56" s="374"/>
      <c r="M56" s="374"/>
      <c r="N56" s="374"/>
      <c r="O56" s="374"/>
      <c r="P56" s="374"/>
      <c r="Q56" s="2"/>
      <c r="R56" s="2"/>
      <c r="S56" s="2"/>
      <c r="T56" s="2"/>
      <c r="U56" s="2"/>
      <c r="V56" s="2"/>
      <c r="W56" s="2"/>
      <c r="X56" s="2"/>
      <c r="Y56" s="2"/>
    </row>
    <row r="57" spans="1:25" ht="15.75" x14ac:dyDescent="0.25">
      <c r="A57" s="53" t="s">
        <v>57</v>
      </c>
      <c r="B57" s="94" t="str">
        <f t="shared" si="3"/>
        <v>3</v>
      </c>
      <c r="C57" s="325">
        <v>1</v>
      </c>
      <c r="D57" s="22" t="s">
        <v>13</v>
      </c>
      <c r="E57" s="13" t="str">
        <f t="shared" si="4"/>
        <v>15 HORAS</v>
      </c>
      <c r="F57" s="14" t="s">
        <v>17</v>
      </c>
      <c r="G57" s="239">
        <f>+IF(F57="","",VLOOKUP(F57,$H$140:I$192,2,FALSE))</f>
        <v>443323</v>
      </c>
      <c r="H57" s="2"/>
      <c r="I57" s="2"/>
      <c r="J57" s="374"/>
      <c r="K57" s="374"/>
      <c r="L57" s="374"/>
      <c r="M57" s="374"/>
      <c r="N57" s="374"/>
      <c r="O57" s="374"/>
      <c r="P57" s="374"/>
      <c r="Q57" s="2"/>
      <c r="R57" s="2"/>
      <c r="S57" s="2"/>
      <c r="T57" s="2"/>
      <c r="U57" s="2"/>
      <c r="V57" s="2"/>
      <c r="W57" s="2"/>
      <c r="X57" s="2"/>
      <c r="Y57" s="2"/>
    </row>
    <row r="58" spans="1:25" ht="15.75" x14ac:dyDescent="0.25">
      <c r="A58" s="95" t="s">
        <v>58</v>
      </c>
      <c r="B58" s="94">
        <v>3</v>
      </c>
      <c r="C58" s="325">
        <v>1</v>
      </c>
      <c r="D58" s="22" t="s">
        <v>13</v>
      </c>
      <c r="E58" s="13" t="str">
        <f t="shared" si="4"/>
        <v>15 HORAS</v>
      </c>
      <c r="F58" s="14" t="s">
        <v>17</v>
      </c>
      <c r="G58" s="239">
        <f>+IF(F58="","",VLOOKUP(F58,$H$140:I$192,2,FALSE))</f>
        <v>443323</v>
      </c>
      <c r="H58" s="2"/>
      <c r="I58" s="2"/>
      <c r="J58" s="374"/>
      <c r="K58" s="374"/>
      <c r="L58" s="374"/>
      <c r="M58" s="374"/>
      <c r="N58" s="374"/>
      <c r="O58" s="374"/>
      <c r="P58" s="374"/>
      <c r="Q58" s="2"/>
      <c r="R58" s="2"/>
      <c r="S58" s="2"/>
      <c r="T58" s="2"/>
      <c r="U58" s="2"/>
      <c r="V58" s="2"/>
      <c r="W58" s="2"/>
      <c r="X58" s="2"/>
      <c r="Y58" s="2"/>
    </row>
    <row r="59" spans="1:25" ht="15.75" x14ac:dyDescent="0.25">
      <c r="A59" s="95" t="s">
        <v>59</v>
      </c>
      <c r="B59" s="94">
        <v>3</v>
      </c>
      <c r="C59" s="325">
        <v>1</v>
      </c>
      <c r="D59" s="22" t="s">
        <v>13</v>
      </c>
      <c r="E59" s="13" t="str">
        <f t="shared" si="4"/>
        <v>15 HORAS</v>
      </c>
      <c r="F59" s="14" t="s">
        <v>17</v>
      </c>
      <c r="G59" s="239">
        <f>+IF(F59="","",VLOOKUP(F59,$H$140:I$192,2,FALSE))</f>
        <v>443323</v>
      </c>
      <c r="H59" s="2"/>
      <c r="I59" s="2"/>
      <c r="J59" s="374"/>
      <c r="K59" s="374"/>
      <c r="L59" s="374"/>
      <c r="M59" s="374"/>
      <c r="N59" s="374"/>
      <c r="O59" s="374"/>
      <c r="P59" s="374"/>
      <c r="Q59" s="2"/>
      <c r="R59" s="2"/>
      <c r="S59" s="2"/>
      <c r="T59" s="2"/>
      <c r="U59" s="2"/>
      <c r="V59" s="2"/>
      <c r="W59" s="2"/>
      <c r="X59" s="2"/>
      <c r="Y59" s="2"/>
    </row>
    <row r="60" spans="1:25" ht="15.75" x14ac:dyDescent="0.25">
      <c r="A60" s="96"/>
      <c r="B60" s="94"/>
      <c r="C60" s="325"/>
      <c r="D60" s="22"/>
      <c r="E60" s="13">
        <f t="shared" si="4"/>
        <v>0</v>
      </c>
      <c r="F60" s="14">
        <v>0</v>
      </c>
      <c r="G60" s="19">
        <f>+IF(F60="","",VLOOKUP(F60,$H$140:I$192,2,FALSE))</f>
        <v>0</v>
      </c>
      <c r="H60" s="2"/>
      <c r="I60" s="2"/>
      <c r="J60" s="374"/>
      <c r="K60" s="374"/>
      <c r="L60" s="374"/>
      <c r="M60" s="374"/>
      <c r="N60" s="374"/>
      <c r="O60" s="374"/>
      <c r="P60" s="374"/>
      <c r="Q60" s="2"/>
      <c r="R60" s="2"/>
      <c r="S60" s="2"/>
      <c r="T60" s="2"/>
      <c r="U60" s="2"/>
      <c r="V60" s="2"/>
      <c r="W60" s="2"/>
      <c r="X60" s="2"/>
      <c r="Y60" s="2"/>
    </row>
    <row r="61" spans="1:25" ht="15.75" x14ac:dyDescent="0.25">
      <c r="A61" s="96"/>
      <c r="B61" s="94"/>
      <c r="C61" s="325"/>
      <c r="D61" s="22"/>
      <c r="E61" s="13">
        <f t="shared" si="4"/>
        <v>0</v>
      </c>
      <c r="F61" s="14">
        <v>0</v>
      </c>
      <c r="G61" s="19">
        <f>+IF(F61="","",VLOOKUP(F61,$H$140:I$192,2,FALSE))</f>
        <v>0</v>
      </c>
      <c r="H61" s="2"/>
      <c r="I61" s="2"/>
      <c r="J61" s="374"/>
      <c r="K61" s="374"/>
      <c r="L61" s="374"/>
      <c r="M61" s="374"/>
      <c r="N61" s="374"/>
      <c r="O61" s="374"/>
      <c r="P61" s="374"/>
      <c r="Q61" s="2"/>
      <c r="R61" s="2"/>
      <c r="S61" s="2"/>
      <c r="T61" s="2"/>
      <c r="U61" s="2"/>
      <c r="V61" s="2"/>
      <c r="W61" s="2"/>
      <c r="X61" s="2"/>
      <c r="Y61" s="2"/>
    </row>
    <row r="62" spans="1:25" ht="15.75" x14ac:dyDescent="0.25">
      <c r="A62" s="96"/>
      <c r="B62" s="94"/>
      <c r="C62" s="325"/>
      <c r="D62" s="22"/>
      <c r="E62" s="13">
        <f t="shared" si="4"/>
        <v>0</v>
      </c>
      <c r="F62" s="14">
        <v>0</v>
      </c>
      <c r="G62" s="19">
        <f>+IF(F62="","",VLOOKUP(F62,$H$140:I$192,2,FALSE))</f>
        <v>0</v>
      </c>
      <c r="H62" s="2"/>
      <c r="I62" s="2"/>
      <c r="J62" s="374"/>
      <c r="K62" s="374"/>
      <c r="L62" s="374"/>
      <c r="M62" s="374"/>
      <c r="N62" s="374"/>
      <c r="O62" s="374"/>
      <c r="P62" s="374"/>
      <c r="Q62" s="2"/>
      <c r="R62" s="2"/>
      <c r="S62" s="2"/>
      <c r="T62" s="2"/>
      <c r="U62" s="2"/>
      <c r="V62" s="2"/>
      <c r="W62" s="2"/>
      <c r="X62" s="2"/>
      <c r="Y62" s="2"/>
    </row>
    <row r="63" spans="1:25" ht="15.75" x14ac:dyDescent="0.25">
      <c r="A63" s="95"/>
      <c r="B63" s="94"/>
      <c r="C63" s="325"/>
      <c r="D63" s="22"/>
      <c r="E63" s="13">
        <f t="shared" si="4"/>
        <v>0</v>
      </c>
      <c r="F63" s="14">
        <v>0</v>
      </c>
      <c r="G63" s="19">
        <f>+IF(F63="","",VLOOKUP(F63,$H$140:I$192,2,FALSE))</f>
        <v>0</v>
      </c>
      <c r="H63" s="2"/>
      <c r="I63" s="2"/>
      <c r="J63" s="374"/>
      <c r="K63" s="374"/>
      <c r="L63" s="374"/>
      <c r="M63" s="374"/>
      <c r="N63" s="374"/>
      <c r="O63" s="374"/>
      <c r="P63" s="374"/>
      <c r="Q63" s="2"/>
      <c r="R63" s="2"/>
      <c r="S63" s="2"/>
      <c r="T63" s="2"/>
      <c r="U63" s="2"/>
      <c r="V63" s="2"/>
      <c r="W63" s="2"/>
      <c r="X63" s="2"/>
      <c r="Y63" s="2"/>
    </row>
    <row r="64" spans="1:25" ht="15.75" x14ac:dyDescent="0.25">
      <c r="A64" s="95"/>
      <c r="B64" s="94"/>
      <c r="C64" s="325"/>
      <c r="D64" s="22"/>
      <c r="E64" s="13">
        <f t="shared" si="4"/>
        <v>0</v>
      </c>
      <c r="F64" s="14">
        <v>0</v>
      </c>
      <c r="G64" s="19">
        <f>+IF(F64="","",VLOOKUP(F64,$H$140:I$192,2,FALSE))</f>
        <v>0</v>
      </c>
      <c r="H64" s="2"/>
      <c r="I64" s="2"/>
      <c r="J64" s="374"/>
      <c r="K64" s="374"/>
      <c r="L64" s="374"/>
      <c r="M64" s="374"/>
      <c r="N64" s="374"/>
      <c r="O64" s="374"/>
      <c r="P64" s="374"/>
      <c r="Q64" s="2"/>
      <c r="R64" s="2"/>
      <c r="S64" s="2"/>
      <c r="T64" s="2"/>
      <c r="U64" s="2"/>
      <c r="V64" s="2"/>
      <c r="W64" s="2"/>
      <c r="X64" s="2"/>
      <c r="Y64" s="2"/>
    </row>
    <row r="65" spans="1:31" ht="15.75" x14ac:dyDescent="0.25">
      <c r="A65" s="93"/>
      <c r="B65" s="16"/>
      <c r="C65" s="325"/>
      <c r="D65" s="97"/>
      <c r="E65" s="14"/>
      <c r="F65" s="14"/>
      <c r="G65" s="30"/>
      <c r="H65" s="2"/>
      <c r="I65" s="2"/>
      <c r="J65" s="374"/>
      <c r="K65" s="374"/>
      <c r="L65" s="374"/>
      <c r="M65" s="374"/>
      <c r="N65" s="374"/>
      <c r="O65" s="374"/>
      <c r="P65" s="374"/>
      <c r="Q65" s="2"/>
      <c r="R65" s="2"/>
      <c r="S65" s="2"/>
      <c r="T65" s="2"/>
      <c r="U65" s="2"/>
      <c r="V65" s="2"/>
      <c r="W65" s="2"/>
      <c r="X65" s="2"/>
      <c r="Y65" s="2"/>
    </row>
    <row r="66" spans="1:31" ht="15.75" x14ac:dyDescent="0.2">
      <c r="A66" s="93" t="s">
        <v>42</v>
      </c>
      <c r="B66" s="61">
        <f>B47+B48+B49+B50+B51+B52+B55+B56+B57+B58+B59+B60+B61+B62+B63+B64</f>
        <v>15</v>
      </c>
      <c r="C66" s="62">
        <f>SUM(C47:C52,C55:C65)</f>
        <v>5</v>
      </c>
      <c r="D66" s="62"/>
      <c r="E66" s="98"/>
      <c r="F66" s="62"/>
      <c r="G66" s="44">
        <f>SUM(G47:G52,G55:G65)</f>
        <v>2216615</v>
      </c>
      <c r="H66" s="2"/>
      <c r="I66" s="2"/>
      <c r="J66" s="374"/>
      <c r="K66" s="374"/>
      <c r="L66" s="374"/>
      <c r="M66" s="374"/>
      <c r="N66" s="374"/>
      <c r="O66" s="374"/>
      <c r="P66" s="374"/>
      <c r="Q66" s="2"/>
      <c r="R66" s="2"/>
      <c r="S66" s="2"/>
      <c r="T66" s="2"/>
      <c r="U66" s="2"/>
      <c r="V66" s="2"/>
      <c r="W66" s="2"/>
      <c r="X66" s="2"/>
      <c r="Y66" s="2"/>
    </row>
    <row r="67" spans="1:31" ht="15" x14ac:dyDescent="0.2">
      <c r="A67" s="2"/>
      <c r="B67" s="2"/>
      <c r="C67" s="2"/>
      <c r="D67" s="2"/>
      <c r="E67" s="2"/>
      <c r="F67" s="2"/>
      <c r="G67" s="2"/>
      <c r="H67" s="2"/>
      <c r="I67" s="2"/>
      <c r="J67" s="2"/>
      <c r="K67" s="2"/>
      <c r="L67" s="2"/>
      <c r="M67" s="2"/>
      <c r="N67" s="2"/>
      <c r="O67" s="2"/>
      <c r="P67" s="2"/>
      <c r="Q67" s="2"/>
      <c r="R67" s="2"/>
      <c r="S67" s="2"/>
      <c r="T67" s="2"/>
      <c r="U67" s="2"/>
      <c r="V67" s="2"/>
      <c r="W67" s="2"/>
      <c r="X67" s="2"/>
      <c r="Y67" s="2"/>
    </row>
    <row r="68" spans="1:31" ht="15" x14ac:dyDescent="0.2">
      <c r="A68" s="74" t="s">
        <v>45</v>
      </c>
      <c r="B68" s="99">
        <f>B66+B41+B23</f>
        <v>66</v>
      </c>
      <c r="C68" s="99">
        <f>C66+C41+C23</f>
        <v>20</v>
      </c>
      <c r="D68" s="74"/>
      <c r="E68" s="2"/>
      <c r="F68" s="2"/>
      <c r="G68" s="44">
        <f>SUM(G23,G41,G66)</f>
        <v>10373043</v>
      </c>
      <c r="H68" s="2"/>
      <c r="I68" s="2"/>
      <c r="J68" s="2"/>
      <c r="K68" s="2"/>
      <c r="L68" s="2"/>
      <c r="M68" s="2"/>
      <c r="N68" s="2"/>
      <c r="O68" s="2"/>
      <c r="P68" s="2"/>
      <c r="Q68" s="2"/>
      <c r="R68" s="2"/>
      <c r="S68" s="2"/>
      <c r="T68" s="2"/>
      <c r="U68" s="2"/>
      <c r="V68" s="2"/>
      <c r="W68" s="2"/>
      <c r="X68" s="2"/>
      <c r="Y68" s="2"/>
    </row>
    <row r="69" spans="1:31" ht="15.75" x14ac:dyDescent="0.25">
      <c r="A69" s="2"/>
      <c r="B69" s="2"/>
      <c r="C69" s="2"/>
      <c r="D69" s="2"/>
      <c r="E69" s="2"/>
      <c r="F69" s="2"/>
      <c r="G69" s="2"/>
      <c r="H69" s="2"/>
      <c r="I69" s="2"/>
      <c r="J69" s="100" t="s">
        <v>60</v>
      </c>
      <c r="K69" s="101">
        <f>K26+B68+T26+AB26</f>
        <v>95</v>
      </c>
      <c r="L69" s="102"/>
      <c r="M69" s="103"/>
      <c r="N69" s="103"/>
      <c r="O69" s="103"/>
      <c r="P69" s="103"/>
      <c r="Q69" s="2"/>
      <c r="R69" s="2"/>
      <c r="S69" s="2"/>
      <c r="T69" s="2"/>
      <c r="U69" s="2"/>
      <c r="V69" s="2"/>
      <c r="W69" s="2"/>
      <c r="X69" s="2"/>
      <c r="Y69" s="2"/>
    </row>
    <row r="70" spans="1:31" ht="16.5" thickBot="1" x14ac:dyDescent="0.3">
      <c r="A70" s="2"/>
      <c r="B70" s="2"/>
      <c r="C70" s="2"/>
      <c r="D70" s="2"/>
      <c r="E70" s="2"/>
      <c r="F70" s="2"/>
      <c r="G70" s="2"/>
      <c r="H70" s="2"/>
      <c r="I70" s="2"/>
      <c r="J70" s="100" t="s">
        <v>61</v>
      </c>
      <c r="K70" s="104">
        <f>L26+C68+U26+AC26</f>
        <v>28</v>
      </c>
      <c r="L70" s="2"/>
      <c r="M70" s="105" t="s">
        <v>0</v>
      </c>
      <c r="N70" s="105" t="s">
        <v>43</v>
      </c>
      <c r="O70" s="105" t="s">
        <v>54</v>
      </c>
      <c r="P70" s="106"/>
      <c r="R70" s="107"/>
      <c r="T70" s="2"/>
      <c r="U70" s="2"/>
      <c r="V70" s="2"/>
      <c r="W70" s="2"/>
      <c r="X70" s="2"/>
      <c r="Y70" s="2"/>
    </row>
    <row r="71" spans="1:31" ht="27" customHeight="1" thickBot="1" x14ac:dyDescent="0.3">
      <c r="A71" s="2"/>
      <c r="B71" s="2"/>
      <c r="C71" s="2"/>
      <c r="D71" s="2"/>
      <c r="E71" s="2"/>
      <c r="F71" s="2"/>
      <c r="G71" s="2"/>
      <c r="H71" s="2"/>
      <c r="I71" s="2"/>
      <c r="J71" s="108" t="s">
        <v>62</v>
      </c>
      <c r="K71" s="377">
        <f>SUM(G68,P26,Y26)</f>
        <v>15631160</v>
      </c>
      <c r="L71" s="378"/>
      <c r="M71" s="109">
        <f>SUM(G4:G12,G16:G22,Y20:Y21)</f>
        <v>5001892</v>
      </c>
      <c r="N71" s="110">
        <f>SUM(G27:G32,G35:G40,P4:P15,P18:P25,Y4:Y7,Y15:Y16,Y22:Y23)</f>
        <v>8039419</v>
      </c>
      <c r="O71" s="109">
        <f>SUM(G47:G52,G55:G64,Y24)</f>
        <v>2589849</v>
      </c>
      <c r="P71" s="111">
        <f>SUM(M71:O71)</f>
        <v>15631160</v>
      </c>
      <c r="R71" s="112"/>
      <c r="S71" s="113"/>
      <c r="T71" s="2"/>
      <c r="U71" s="2"/>
      <c r="V71" s="2"/>
      <c r="W71" s="2"/>
      <c r="X71" s="2"/>
      <c r="Y71" s="2"/>
    </row>
    <row r="72" spans="1:31" ht="13.5" thickBot="1" x14ac:dyDescent="0.25"/>
    <row r="73" spans="1:31" ht="36" customHeight="1" thickBot="1" x14ac:dyDescent="0.25">
      <c r="A73" s="365" t="s">
        <v>63</v>
      </c>
      <c r="B73" s="366"/>
      <c r="C73" s="366"/>
      <c r="D73" s="366"/>
      <c r="E73" s="366"/>
      <c r="F73" s="366"/>
      <c r="G73" s="366"/>
      <c r="H73" s="366"/>
      <c r="I73" s="366"/>
      <c r="J73" s="366"/>
      <c r="K73" s="366"/>
      <c r="L73" s="366"/>
      <c r="M73" s="366"/>
      <c r="N73" s="366"/>
      <c r="O73" s="366"/>
      <c r="P73" s="366"/>
      <c r="Q73" s="366"/>
      <c r="R73" s="366"/>
      <c r="S73" s="366"/>
      <c r="T73" s="366"/>
      <c r="U73" s="366"/>
      <c r="V73" s="366"/>
      <c r="W73" s="366"/>
      <c r="X73" s="366"/>
      <c r="Y73" s="366"/>
      <c r="Z73" s="366"/>
      <c r="AA73" s="366"/>
      <c r="AB73" s="366"/>
      <c r="AC73" s="366"/>
      <c r="AD73" s="366"/>
      <c r="AE73" s="367"/>
    </row>
    <row r="74" spans="1:31" ht="286.5" customHeight="1" x14ac:dyDescent="0.2">
      <c r="A74" s="381" t="s">
        <v>349</v>
      </c>
      <c r="B74" s="360"/>
      <c r="C74" s="360"/>
      <c r="D74" s="360"/>
      <c r="E74" s="360"/>
      <c r="F74" s="360"/>
      <c r="G74" s="360"/>
      <c r="H74" s="360"/>
      <c r="I74" s="360"/>
      <c r="J74" s="360"/>
      <c r="K74" s="360"/>
      <c r="L74" s="360"/>
      <c r="M74" s="360"/>
      <c r="N74" s="360"/>
      <c r="O74" s="360"/>
      <c r="P74" s="360"/>
      <c r="Q74" s="360"/>
      <c r="R74" s="360"/>
      <c r="S74" s="360"/>
      <c r="T74" s="360"/>
      <c r="U74" s="360"/>
      <c r="V74" s="360"/>
      <c r="W74" s="360"/>
      <c r="X74" s="360"/>
      <c r="Y74" s="360"/>
      <c r="Z74" s="360"/>
      <c r="AA74" s="360"/>
      <c r="AB74" s="360"/>
      <c r="AC74" s="360"/>
      <c r="AD74" s="360"/>
      <c r="AE74" s="360"/>
    </row>
    <row r="75" spans="1:31" ht="222.75" customHeight="1" x14ac:dyDescent="0.2">
      <c r="A75" s="361"/>
      <c r="B75" s="360"/>
      <c r="C75" s="360"/>
      <c r="D75" s="360"/>
      <c r="E75" s="360"/>
      <c r="F75" s="360"/>
      <c r="G75" s="360"/>
      <c r="H75" s="360"/>
      <c r="I75" s="360"/>
      <c r="J75" s="360"/>
      <c r="K75" s="360"/>
      <c r="L75" s="360"/>
      <c r="M75" s="360"/>
      <c r="N75" s="360"/>
      <c r="O75" s="360"/>
      <c r="P75" s="360"/>
      <c r="Q75" s="360"/>
      <c r="R75" s="360"/>
      <c r="S75" s="360"/>
      <c r="T75" s="360"/>
      <c r="U75" s="360"/>
      <c r="V75" s="360"/>
      <c r="W75" s="360"/>
      <c r="X75" s="360"/>
      <c r="Y75" s="360"/>
      <c r="Z75" s="360"/>
      <c r="AA75" s="360"/>
      <c r="AB75" s="360"/>
      <c r="AC75" s="360"/>
      <c r="AD75" s="360"/>
      <c r="AE75" s="360"/>
    </row>
    <row r="76" spans="1:31" ht="109.5" customHeight="1" x14ac:dyDescent="0.2">
      <c r="A76" s="361"/>
      <c r="B76" s="360"/>
      <c r="C76" s="360"/>
      <c r="D76" s="360"/>
      <c r="E76" s="360"/>
      <c r="F76" s="360"/>
      <c r="G76" s="360"/>
      <c r="H76" s="360"/>
      <c r="I76" s="360"/>
      <c r="J76" s="360"/>
      <c r="K76" s="360"/>
      <c r="L76" s="360"/>
      <c r="M76" s="360"/>
      <c r="N76" s="360"/>
      <c r="O76" s="360"/>
      <c r="P76" s="360"/>
      <c r="Q76" s="360"/>
      <c r="R76" s="360"/>
      <c r="S76" s="360"/>
      <c r="T76" s="360"/>
      <c r="U76" s="360"/>
      <c r="V76" s="360"/>
      <c r="W76" s="360"/>
      <c r="X76" s="360"/>
      <c r="Y76" s="360"/>
      <c r="Z76" s="360"/>
      <c r="AA76" s="360"/>
      <c r="AB76" s="360"/>
      <c r="AC76" s="360"/>
      <c r="AD76" s="360"/>
      <c r="AE76" s="360"/>
    </row>
    <row r="77" spans="1:31" ht="148.5" customHeight="1" x14ac:dyDescent="0.2">
      <c r="A77" s="361"/>
      <c r="B77" s="360"/>
      <c r="C77" s="360"/>
      <c r="D77" s="360"/>
      <c r="E77" s="360"/>
      <c r="F77" s="360"/>
      <c r="G77" s="360"/>
      <c r="H77" s="360"/>
      <c r="I77" s="360"/>
      <c r="J77" s="360"/>
      <c r="K77" s="360"/>
      <c r="L77" s="360"/>
      <c r="M77" s="360"/>
      <c r="N77" s="360"/>
      <c r="O77" s="360"/>
      <c r="P77" s="360"/>
      <c r="Q77" s="360"/>
      <c r="R77" s="360"/>
      <c r="S77" s="360"/>
      <c r="T77" s="360"/>
      <c r="U77" s="360"/>
      <c r="V77" s="360"/>
      <c r="W77" s="360"/>
      <c r="X77" s="360"/>
      <c r="Y77" s="360"/>
      <c r="Z77" s="360"/>
      <c r="AA77" s="360"/>
      <c r="AB77" s="360"/>
      <c r="AC77" s="360"/>
      <c r="AD77" s="360"/>
      <c r="AE77" s="360"/>
    </row>
    <row r="78" spans="1:31" ht="90" customHeight="1" x14ac:dyDescent="0.2">
      <c r="A78" s="361"/>
      <c r="B78" s="360"/>
      <c r="C78" s="360"/>
      <c r="D78" s="360"/>
      <c r="E78" s="360"/>
      <c r="F78" s="360"/>
      <c r="G78" s="360"/>
      <c r="H78" s="360"/>
      <c r="I78" s="360"/>
      <c r="J78" s="360"/>
      <c r="K78" s="360"/>
      <c r="L78" s="360"/>
      <c r="M78" s="360"/>
      <c r="N78" s="360"/>
      <c r="O78" s="360"/>
      <c r="P78" s="360"/>
      <c r="Q78" s="360"/>
      <c r="R78" s="360"/>
      <c r="S78" s="360"/>
      <c r="T78" s="360"/>
      <c r="U78" s="360"/>
      <c r="V78" s="360"/>
      <c r="W78" s="360"/>
      <c r="X78" s="360"/>
      <c r="Y78" s="360"/>
      <c r="Z78" s="360"/>
      <c r="AA78" s="360"/>
      <c r="AB78" s="360"/>
      <c r="AC78" s="360"/>
      <c r="AD78" s="360"/>
      <c r="AE78" s="360"/>
    </row>
    <row r="79" spans="1:31" ht="156" customHeight="1" x14ac:dyDescent="0.2">
      <c r="A79" s="361"/>
      <c r="B79" s="360"/>
      <c r="C79" s="360"/>
      <c r="D79" s="360"/>
      <c r="E79" s="360"/>
      <c r="F79" s="360"/>
      <c r="G79" s="360"/>
      <c r="H79" s="360"/>
      <c r="I79" s="360"/>
      <c r="J79" s="360"/>
      <c r="K79" s="360"/>
      <c r="L79" s="360"/>
      <c r="M79" s="360"/>
      <c r="N79" s="360"/>
      <c r="O79" s="360"/>
      <c r="P79" s="360"/>
      <c r="Q79" s="360"/>
      <c r="R79" s="360"/>
      <c r="S79" s="360"/>
      <c r="T79" s="360"/>
      <c r="U79" s="360"/>
      <c r="V79" s="360"/>
      <c r="W79" s="360"/>
      <c r="X79" s="360"/>
      <c r="Y79" s="360"/>
      <c r="Z79" s="360"/>
      <c r="AA79" s="360"/>
      <c r="AB79" s="360"/>
      <c r="AC79" s="360"/>
      <c r="AD79" s="360"/>
      <c r="AE79" s="360"/>
    </row>
    <row r="80" spans="1:31" ht="258" customHeight="1" x14ac:dyDescent="0.2">
      <c r="A80" s="361"/>
      <c r="B80" s="360"/>
      <c r="C80" s="360"/>
      <c r="D80" s="360"/>
      <c r="E80" s="360"/>
      <c r="F80" s="360"/>
      <c r="G80" s="360"/>
      <c r="H80" s="360"/>
      <c r="I80" s="360"/>
      <c r="J80" s="360"/>
      <c r="K80" s="360"/>
      <c r="L80" s="360"/>
      <c r="M80" s="360"/>
      <c r="N80" s="360"/>
      <c r="O80" s="360"/>
      <c r="P80" s="360"/>
      <c r="Q80" s="360"/>
      <c r="R80" s="360"/>
      <c r="S80" s="360"/>
      <c r="T80" s="360"/>
      <c r="U80" s="360"/>
      <c r="V80" s="360"/>
      <c r="W80" s="360"/>
      <c r="X80" s="360"/>
      <c r="Y80" s="360"/>
      <c r="Z80" s="360"/>
      <c r="AA80" s="360"/>
      <c r="AB80" s="360"/>
      <c r="AC80" s="360"/>
      <c r="AD80" s="360"/>
      <c r="AE80" s="360"/>
    </row>
    <row r="81" spans="1:21" ht="18.75" x14ac:dyDescent="0.2">
      <c r="S81" s="114"/>
      <c r="T81" s="115"/>
      <c r="U81" s="114"/>
    </row>
    <row r="82" spans="1:21" ht="18.75" x14ac:dyDescent="0.2">
      <c r="S82" s="114"/>
      <c r="T82" s="115"/>
      <c r="U82" s="114"/>
    </row>
    <row r="83" spans="1:21" ht="18.75" x14ac:dyDescent="0.2">
      <c r="A83" s="362"/>
      <c r="S83" s="114"/>
      <c r="T83" s="115"/>
      <c r="U83" s="114"/>
    </row>
    <row r="84" spans="1:21" ht="18.75" x14ac:dyDescent="0.2">
      <c r="A84" s="362"/>
      <c r="S84" s="114"/>
      <c r="T84" s="115"/>
      <c r="U84" s="114"/>
    </row>
    <row r="85" spans="1:21" ht="18.75" x14ac:dyDescent="0.2">
      <c r="A85" s="362"/>
      <c r="S85" s="114"/>
      <c r="T85" s="115"/>
      <c r="U85" s="114"/>
    </row>
    <row r="86" spans="1:21" ht="18.75" x14ac:dyDescent="0.25">
      <c r="A86" s="117"/>
      <c r="S86" s="114"/>
      <c r="T86" s="115"/>
      <c r="U86" s="114"/>
    </row>
    <row r="87" spans="1:21" ht="18.75" x14ac:dyDescent="0.25">
      <c r="A87" s="117"/>
      <c r="S87" s="114"/>
      <c r="T87" s="115"/>
      <c r="U87" s="114"/>
    </row>
    <row r="88" spans="1:21" ht="18.75" x14ac:dyDescent="0.25">
      <c r="A88" s="116"/>
      <c r="S88" s="114"/>
      <c r="T88" s="115"/>
      <c r="U88" s="114"/>
    </row>
    <row r="89" spans="1:21" ht="18.75" x14ac:dyDescent="0.2">
      <c r="A89" s="362" t="s">
        <v>64</v>
      </c>
      <c r="B89" s="364"/>
      <c r="S89" s="114"/>
      <c r="T89" s="115"/>
      <c r="U89" s="114"/>
    </row>
    <row r="90" spans="1:21" ht="18.75" x14ac:dyDescent="0.2">
      <c r="A90" s="363"/>
      <c r="B90" s="364"/>
      <c r="S90" s="114"/>
      <c r="T90" s="115"/>
      <c r="U90" s="114"/>
    </row>
    <row r="91" spans="1:21" ht="18.75" x14ac:dyDescent="0.2">
      <c r="A91" s="363"/>
      <c r="B91" s="364"/>
      <c r="S91" s="114"/>
      <c r="T91" s="115"/>
      <c r="U91" s="114"/>
    </row>
    <row r="92" spans="1:21" ht="18.75" x14ac:dyDescent="0.25">
      <c r="A92" s="117"/>
      <c r="B92" s="118"/>
      <c r="S92" s="114"/>
      <c r="T92" s="115"/>
      <c r="U92" s="114"/>
    </row>
    <row r="93" spans="1:21" ht="12.75" customHeight="1" x14ac:dyDescent="0.25">
      <c r="A93" s="119"/>
    </row>
    <row r="94" spans="1:21" ht="12.75" customHeight="1" x14ac:dyDescent="0.2">
      <c r="A94" s="353" t="s">
        <v>65</v>
      </c>
    </row>
    <row r="95" spans="1:21" ht="12.75" customHeight="1" x14ac:dyDescent="0.2">
      <c r="A95" s="354"/>
    </row>
    <row r="96" spans="1:21" ht="12.75" customHeight="1" x14ac:dyDescent="0.2">
      <c r="A96" s="354"/>
    </row>
    <row r="97" spans="1:1" ht="249.75" customHeight="1" x14ac:dyDescent="0.2">
      <c r="A97" s="120"/>
    </row>
    <row r="98" spans="1:1" x14ac:dyDescent="0.2">
      <c r="A98" s="121"/>
    </row>
    <row r="99" spans="1:1" x14ac:dyDescent="0.2">
      <c r="A99" s="121"/>
    </row>
    <row r="100" spans="1:1" x14ac:dyDescent="0.2">
      <c r="A100" s="121"/>
    </row>
    <row r="101" spans="1:1" x14ac:dyDescent="0.2">
      <c r="A101" s="121"/>
    </row>
    <row r="102" spans="1:1" x14ac:dyDescent="0.2">
      <c r="A102" s="121"/>
    </row>
    <row r="103" spans="1:1" x14ac:dyDescent="0.2">
      <c r="A103" s="121"/>
    </row>
    <row r="104" spans="1:1" x14ac:dyDescent="0.2">
      <c r="A104" s="121"/>
    </row>
    <row r="139" spans="6:14" x14ac:dyDescent="0.2">
      <c r="J139" s="3" t="s">
        <v>66</v>
      </c>
      <c r="K139" s="3" t="s">
        <v>67</v>
      </c>
    </row>
    <row r="140" spans="6:14" s="122" customFormat="1" x14ac:dyDescent="0.2">
      <c r="F140" s="122">
        <v>0</v>
      </c>
      <c r="G140" s="122">
        <v>0</v>
      </c>
      <c r="H140" s="122">
        <v>0</v>
      </c>
      <c r="I140" s="122">
        <v>0</v>
      </c>
      <c r="J140" s="122">
        <v>0</v>
      </c>
      <c r="K140" s="122">
        <v>0</v>
      </c>
      <c r="L140" s="122">
        <v>0</v>
      </c>
      <c r="M140" s="122">
        <v>0</v>
      </c>
      <c r="N140" s="122" t="str">
        <f>+CONCATENATE(G140,"VEHICULO",M140)</f>
        <v>0VEHICULO0</v>
      </c>
    </row>
    <row r="141" spans="6:14" s="122" customFormat="1" x14ac:dyDescent="0.2">
      <c r="F141" s="122" t="s">
        <v>68</v>
      </c>
      <c r="G141" s="122" t="s">
        <v>69</v>
      </c>
      <c r="H141" s="122" t="s">
        <v>14</v>
      </c>
      <c r="I141" s="123">
        <v>582964</v>
      </c>
      <c r="J141" s="123" t="s">
        <v>70</v>
      </c>
      <c r="K141" s="124">
        <v>4</v>
      </c>
      <c r="L141" s="122" t="s">
        <v>71</v>
      </c>
      <c r="M141" s="122" t="s">
        <v>72</v>
      </c>
      <c r="N141" s="122" t="str">
        <f t="shared" ref="N141:N187" si="5">+CONCATENATE(G141,F141)</f>
        <v>1.40m³-15H-4OP</v>
      </c>
    </row>
    <row r="142" spans="6:14" s="122" customFormat="1" x14ac:dyDescent="0.2">
      <c r="F142" s="122" t="s">
        <v>73</v>
      </c>
      <c r="G142" s="122" t="s">
        <v>74</v>
      </c>
      <c r="H142" s="122" t="s">
        <v>21</v>
      </c>
      <c r="I142" s="123">
        <v>514916</v>
      </c>
      <c r="J142" s="123" t="s">
        <v>70</v>
      </c>
      <c r="K142" s="124">
        <v>3</v>
      </c>
      <c r="L142" s="122" t="s">
        <v>75</v>
      </c>
      <c r="M142" s="122" t="s">
        <v>72</v>
      </c>
      <c r="N142" s="122" t="str">
        <f t="shared" si="5"/>
        <v>2.40m³-15H-3OP</v>
      </c>
    </row>
    <row r="143" spans="6:14" s="122" customFormat="1" x14ac:dyDescent="0.2">
      <c r="F143" s="122" t="s">
        <v>76</v>
      </c>
      <c r="G143" s="122" t="s">
        <v>77</v>
      </c>
      <c r="H143" s="122" t="s">
        <v>78</v>
      </c>
      <c r="I143" s="123">
        <v>448638</v>
      </c>
      <c r="J143" s="123" t="s">
        <v>70</v>
      </c>
      <c r="K143" s="124">
        <v>2</v>
      </c>
      <c r="L143" s="122" t="s">
        <v>79</v>
      </c>
      <c r="M143" s="122" t="s">
        <v>72</v>
      </c>
      <c r="N143" s="122" t="str">
        <f t="shared" si="5"/>
        <v>3.40m³-15H-2OP</v>
      </c>
    </row>
    <row r="144" spans="6:14" s="122" customFormat="1" x14ac:dyDescent="0.2">
      <c r="F144" s="122" t="s">
        <v>80</v>
      </c>
      <c r="G144" s="122" t="s">
        <v>81</v>
      </c>
      <c r="H144" s="122" t="s">
        <v>82</v>
      </c>
      <c r="I144" s="123">
        <v>381163</v>
      </c>
      <c r="J144" s="123" t="s">
        <v>70</v>
      </c>
      <c r="K144" s="124">
        <v>1</v>
      </c>
      <c r="L144" s="122" t="s">
        <v>83</v>
      </c>
      <c r="M144" s="122" t="s">
        <v>72</v>
      </c>
      <c r="N144" s="122" t="str">
        <f t="shared" si="5"/>
        <v>4.40m³-15H-1OP</v>
      </c>
    </row>
    <row r="145" spans="6:14" s="122" customFormat="1" x14ac:dyDescent="0.2">
      <c r="F145" s="122" t="s">
        <v>84</v>
      </c>
      <c r="G145" s="122" t="s">
        <v>85</v>
      </c>
      <c r="H145" s="122" t="s">
        <v>86</v>
      </c>
      <c r="I145" s="123">
        <v>321680</v>
      </c>
      <c r="J145" s="123" t="s">
        <v>70</v>
      </c>
      <c r="K145" s="124">
        <v>0</v>
      </c>
      <c r="L145" s="122" t="s">
        <v>87</v>
      </c>
      <c r="M145" s="122" t="s">
        <v>72</v>
      </c>
      <c r="N145" s="122" t="str">
        <f t="shared" si="5"/>
        <v>5.40m³-15H-0OP</v>
      </c>
    </row>
    <row r="146" spans="6:14" s="122" customFormat="1" x14ac:dyDescent="0.2">
      <c r="F146" s="122" t="s">
        <v>88</v>
      </c>
      <c r="G146" s="122" t="s">
        <v>89</v>
      </c>
      <c r="H146" s="122" t="s">
        <v>90</v>
      </c>
      <c r="I146" s="123">
        <v>509192</v>
      </c>
      <c r="J146" s="123" t="s">
        <v>91</v>
      </c>
      <c r="K146" s="124">
        <v>4</v>
      </c>
      <c r="L146" s="122" t="s">
        <v>92</v>
      </c>
      <c r="M146" s="122" t="s">
        <v>72</v>
      </c>
      <c r="N146" s="122" t="str">
        <f t="shared" si="5"/>
        <v>6.40m³-9H-4OP</v>
      </c>
    </row>
    <row r="147" spans="6:14" s="122" customFormat="1" x14ac:dyDescent="0.2">
      <c r="F147" s="122" t="s">
        <v>93</v>
      </c>
      <c r="G147" s="122" t="s">
        <v>94</v>
      </c>
      <c r="H147" s="122" t="s">
        <v>95</v>
      </c>
      <c r="I147" s="123">
        <v>450204</v>
      </c>
      <c r="J147" s="123" t="s">
        <v>91</v>
      </c>
      <c r="K147" s="124">
        <v>3</v>
      </c>
      <c r="L147" s="122" t="s">
        <v>96</v>
      </c>
      <c r="M147" s="122" t="s">
        <v>72</v>
      </c>
      <c r="N147" s="122" t="str">
        <f t="shared" si="5"/>
        <v>7.40m³-9H-3OP</v>
      </c>
    </row>
    <row r="148" spans="6:14" s="122" customFormat="1" x14ac:dyDescent="0.2">
      <c r="F148" s="122" t="s">
        <v>97</v>
      </c>
      <c r="G148" s="122" t="s">
        <v>98</v>
      </c>
      <c r="H148" s="122" t="s">
        <v>99</v>
      </c>
      <c r="I148" s="123">
        <v>392186</v>
      </c>
      <c r="J148" s="123" t="s">
        <v>91</v>
      </c>
      <c r="K148" s="124">
        <v>2</v>
      </c>
      <c r="L148" s="122" t="s">
        <v>100</v>
      </c>
      <c r="M148" s="122" t="s">
        <v>72</v>
      </c>
      <c r="N148" s="122" t="str">
        <f t="shared" si="5"/>
        <v>8.40m³-9H-2OP</v>
      </c>
    </row>
    <row r="149" spans="6:14" s="122" customFormat="1" x14ac:dyDescent="0.2">
      <c r="F149" s="122" t="s">
        <v>101</v>
      </c>
      <c r="G149" s="122" t="s">
        <v>102</v>
      </c>
      <c r="H149" s="122" t="s">
        <v>103</v>
      </c>
      <c r="I149" s="123">
        <v>329397</v>
      </c>
      <c r="J149" s="123" t="s">
        <v>91</v>
      </c>
      <c r="K149" s="124">
        <v>1</v>
      </c>
      <c r="L149" s="122" t="s">
        <v>104</v>
      </c>
      <c r="M149" s="122" t="s">
        <v>72</v>
      </c>
      <c r="N149" s="122" t="str">
        <f t="shared" si="5"/>
        <v>9.40m³-9H-1OP</v>
      </c>
    </row>
    <row r="150" spans="6:14" s="122" customFormat="1" x14ac:dyDescent="0.2">
      <c r="F150" s="122" t="s">
        <v>105</v>
      </c>
      <c r="G150" s="122" t="s">
        <v>106</v>
      </c>
      <c r="H150" s="122" t="s">
        <v>107</v>
      </c>
      <c r="I150" s="123">
        <v>280919</v>
      </c>
      <c r="J150" s="123" t="s">
        <v>91</v>
      </c>
      <c r="K150" s="124">
        <v>0</v>
      </c>
      <c r="L150" s="122" t="s">
        <v>108</v>
      </c>
      <c r="M150" s="122" t="s">
        <v>72</v>
      </c>
      <c r="N150" s="122" t="str">
        <f t="shared" si="5"/>
        <v>10.40m³-9H-0OP</v>
      </c>
    </row>
    <row r="151" spans="6:14" s="122" customFormat="1" x14ac:dyDescent="0.2">
      <c r="F151" s="122" t="s">
        <v>109</v>
      </c>
      <c r="G151" s="122" t="s">
        <v>110</v>
      </c>
      <c r="H151" s="122" t="s">
        <v>111</v>
      </c>
      <c r="I151" s="123">
        <v>420585</v>
      </c>
      <c r="J151" s="123" t="s">
        <v>112</v>
      </c>
      <c r="K151" s="124">
        <v>4</v>
      </c>
      <c r="L151" s="122" t="s">
        <v>113</v>
      </c>
      <c r="M151" s="122" t="s">
        <v>72</v>
      </c>
      <c r="N151" s="122" t="str">
        <f t="shared" si="5"/>
        <v>11.40m³-4H-4OP</v>
      </c>
    </row>
    <row r="152" spans="6:14" s="122" customFormat="1" x14ac:dyDescent="0.2">
      <c r="F152" s="122" t="s">
        <v>114</v>
      </c>
      <c r="G152" s="122" t="s">
        <v>115</v>
      </c>
      <c r="H152" s="122" t="s">
        <v>116</v>
      </c>
      <c r="I152" s="123">
        <v>369327</v>
      </c>
      <c r="J152" s="123" t="s">
        <v>112</v>
      </c>
      <c r="K152" s="124">
        <v>3</v>
      </c>
      <c r="L152" s="122" t="s">
        <v>117</v>
      </c>
      <c r="M152" s="122" t="s">
        <v>72</v>
      </c>
      <c r="N152" s="122" t="str">
        <f t="shared" si="5"/>
        <v>12.40m³-4H-3OP</v>
      </c>
    </row>
    <row r="153" spans="6:14" s="122" customFormat="1" x14ac:dyDescent="0.2">
      <c r="F153" s="122" t="s">
        <v>118</v>
      </c>
      <c r="G153" s="122" t="s">
        <v>119</v>
      </c>
      <c r="H153" s="122" t="s">
        <v>120</v>
      </c>
      <c r="I153" s="123">
        <v>323463</v>
      </c>
      <c r="J153" s="123" t="s">
        <v>112</v>
      </c>
      <c r="K153" s="124">
        <v>2</v>
      </c>
      <c r="L153" s="122" t="s">
        <v>121</v>
      </c>
      <c r="M153" s="122" t="s">
        <v>72</v>
      </c>
      <c r="N153" s="122" t="str">
        <f t="shared" si="5"/>
        <v>13.40m³-4H-2OP</v>
      </c>
    </row>
    <row r="154" spans="6:14" s="122" customFormat="1" x14ac:dyDescent="0.2">
      <c r="F154" s="122" t="s">
        <v>122</v>
      </c>
      <c r="G154" s="122" t="s">
        <v>123</v>
      </c>
      <c r="H154" s="122" t="s">
        <v>124</v>
      </c>
      <c r="I154" s="123">
        <v>270330</v>
      </c>
      <c r="J154" s="123" t="s">
        <v>112</v>
      </c>
      <c r="K154" s="124">
        <v>1</v>
      </c>
      <c r="L154" s="122" t="s">
        <v>125</v>
      </c>
      <c r="M154" s="122" t="s">
        <v>72</v>
      </c>
      <c r="N154" s="122" t="str">
        <f t="shared" si="5"/>
        <v>14.40m³-4H-1OP</v>
      </c>
    </row>
    <row r="155" spans="6:14" s="122" customFormat="1" x14ac:dyDescent="0.2">
      <c r="F155" s="122" t="s">
        <v>126</v>
      </c>
      <c r="G155" s="122" t="s">
        <v>127</v>
      </c>
      <c r="H155" s="122" t="s">
        <v>128</v>
      </c>
      <c r="I155" s="123">
        <v>221709</v>
      </c>
      <c r="J155" s="123" t="s">
        <v>112</v>
      </c>
      <c r="K155" s="124">
        <v>0</v>
      </c>
      <c r="L155" s="122" t="s">
        <v>129</v>
      </c>
      <c r="M155" s="122" t="s">
        <v>72</v>
      </c>
      <c r="N155" s="122" t="str">
        <f t="shared" si="5"/>
        <v>15.40m³-4H-0OP</v>
      </c>
    </row>
    <row r="156" spans="6:14" s="122" customFormat="1" x14ac:dyDescent="0.2">
      <c r="F156" s="122" t="s">
        <v>130</v>
      </c>
      <c r="G156" s="122" t="s">
        <v>131</v>
      </c>
      <c r="H156" s="122" t="s">
        <v>19</v>
      </c>
      <c r="I156" s="123">
        <v>501739</v>
      </c>
      <c r="J156" s="123" t="s">
        <v>70</v>
      </c>
      <c r="K156" s="124">
        <v>4</v>
      </c>
      <c r="L156" s="122" t="s">
        <v>132</v>
      </c>
      <c r="M156" s="122" t="s">
        <v>72</v>
      </c>
      <c r="N156" s="122" t="str">
        <f t="shared" si="5"/>
        <v>16.25m³-15H-4OP</v>
      </c>
    </row>
    <row r="157" spans="6:14" s="122" customFormat="1" x14ac:dyDescent="0.2">
      <c r="F157" s="122" t="s">
        <v>133</v>
      </c>
      <c r="G157" s="122" t="s">
        <v>134</v>
      </c>
      <c r="H157" s="122" t="s">
        <v>17</v>
      </c>
      <c r="I157" s="123">
        <v>443323</v>
      </c>
      <c r="J157" s="123" t="s">
        <v>70</v>
      </c>
      <c r="K157" s="124">
        <v>3</v>
      </c>
      <c r="L157" s="122" t="s">
        <v>135</v>
      </c>
      <c r="M157" s="122" t="s">
        <v>72</v>
      </c>
      <c r="N157" s="122" t="str">
        <f t="shared" si="5"/>
        <v>17.25m³-15H-3OP</v>
      </c>
    </row>
    <row r="158" spans="6:14" s="122" customFormat="1" x14ac:dyDescent="0.2">
      <c r="F158" s="122" t="s">
        <v>136</v>
      </c>
      <c r="G158" s="122" t="s">
        <v>137</v>
      </c>
      <c r="H158" s="122" t="s">
        <v>138</v>
      </c>
      <c r="I158" s="123">
        <v>388652</v>
      </c>
      <c r="J158" s="123" t="s">
        <v>70</v>
      </c>
      <c r="K158" s="124">
        <v>2</v>
      </c>
      <c r="L158" s="122" t="s">
        <v>139</v>
      </c>
      <c r="M158" s="122" t="s">
        <v>72</v>
      </c>
      <c r="N158" s="122" t="str">
        <f t="shared" si="5"/>
        <v>18.25m³-15H-2OP</v>
      </c>
    </row>
    <row r="159" spans="6:14" s="122" customFormat="1" x14ac:dyDescent="0.2">
      <c r="F159" s="122" t="s">
        <v>140</v>
      </c>
      <c r="G159" s="122" t="s">
        <v>141</v>
      </c>
      <c r="H159" s="122" t="s">
        <v>142</v>
      </c>
      <c r="I159" s="123">
        <v>323189</v>
      </c>
      <c r="J159" s="123" t="s">
        <v>70</v>
      </c>
      <c r="K159" s="124">
        <v>1</v>
      </c>
      <c r="L159" s="122" t="s">
        <v>143</v>
      </c>
      <c r="M159" s="122" t="s">
        <v>72</v>
      </c>
      <c r="N159" s="122" t="str">
        <f t="shared" si="5"/>
        <v>19.25m³-15H-1OP</v>
      </c>
    </row>
    <row r="160" spans="6:14" s="122" customFormat="1" x14ac:dyDescent="0.2">
      <c r="F160" s="122" t="s">
        <v>144</v>
      </c>
      <c r="G160" s="122" t="s">
        <v>145</v>
      </c>
      <c r="H160" s="122" t="s">
        <v>146</v>
      </c>
      <c r="I160" s="123">
        <v>256051</v>
      </c>
      <c r="J160" s="123" t="s">
        <v>70</v>
      </c>
      <c r="K160" s="124">
        <v>0</v>
      </c>
      <c r="L160" s="122" t="s">
        <v>147</v>
      </c>
      <c r="M160" s="122" t="s">
        <v>72</v>
      </c>
      <c r="N160" s="122" t="str">
        <f t="shared" si="5"/>
        <v>20.25m³-15H-0OP</v>
      </c>
    </row>
    <row r="161" spans="6:14" s="122" customFormat="1" x14ac:dyDescent="0.2">
      <c r="F161" s="122" t="s">
        <v>148</v>
      </c>
      <c r="G161" s="122" t="s">
        <v>149</v>
      </c>
      <c r="H161" s="122" t="s">
        <v>150</v>
      </c>
      <c r="I161" s="123">
        <v>433978</v>
      </c>
      <c r="J161" s="123" t="s">
        <v>91</v>
      </c>
      <c r="K161" s="124">
        <v>4</v>
      </c>
      <c r="L161" s="122" t="s">
        <v>151</v>
      </c>
      <c r="M161" s="122" t="s">
        <v>72</v>
      </c>
      <c r="N161" s="122" t="str">
        <f t="shared" si="5"/>
        <v>21.25m³-9H-4OP</v>
      </c>
    </row>
    <row r="162" spans="6:14" s="122" customFormat="1" x14ac:dyDescent="0.2">
      <c r="F162" s="122" t="s">
        <v>152</v>
      </c>
      <c r="G162" s="122" t="s">
        <v>153</v>
      </c>
      <c r="H162" s="122" t="s">
        <v>154</v>
      </c>
      <c r="I162" s="123">
        <v>386383</v>
      </c>
      <c r="J162" s="123" t="s">
        <v>91</v>
      </c>
      <c r="K162" s="124">
        <v>3</v>
      </c>
      <c r="L162" s="122" t="s">
        <v>155</v>
      </c>
      <c r="M162" s="122" t="s">
        <v>72</v>
      </c>
      <c r="N162" s="122" t="str">
        <f t="shared" si="5"/>
        <v>22.25m³-9H-3OP</v>
      </c>
    </row>
    <row r="163" spans="6:14" s="122" customFormat="1" x14ac:dyDescent="0.2">
      <c r="F163" s="122" t="s">
        <v>156</v>
      </c>
      <c r="G163" s="122" t="s">
        <v>157</v>
      </c>
      <c r="H163" s="122" t="s">
        <v>158</v>
      </c>
      <c r="I163" s="123">
        <v>345928</v>
      </c>
      <c r="J163" s="123" t="s">
        <v>91</v>
      </c>
      <c r="K163" s="124">
        <v>2</v>
      </c>
      <c r="L163" s="122" t="s">
        <v>159</v>
      </c>
      <c r="M163" s="122" t="s">
        <v>72</v>
      </c>
      <c r="N163" s="122" t="str">
        <f t="shared" si="5"/>
        <v>23.25m³-9H-2OP</v>
      </c>
    </row>
    <row r="164" spans="6:14" s="122" customFormat="1" x14ac:dyDescent="0.2">
      <c r="F164" s="122" t="s">
        <v>160</v>
      </c>
      <c r="G164" s="122" t="s">
        <v>161</v>
      </c>
      <c r="H164" s="122" t="s">
        <v>162</v>
      </c>
      <c r="I164" s="123">
        <v>290841</v>
      </c>
      <c r="J164" s="123" t="s">
        <v>91</v>
      </c>
      <c r="K164" s="124">
        <v>1</v>
      </c>
      <c r="L164" s="122" t="s">
        <v>163</v>
      </c>
      <c r="M164" s="122" t="s">
        <v>72</v>
      </c>
      <c r="N164" s="122" t="str">
        <f t="shared" si="5"/>
        <v>24.25m³-9H-1OP</v>
      </c>
    </row>
    <row r="165" spans="6:14" s="122" customFormat="1" x14ac:dyDescent="0.2">
      <c r="F165" s="122" t="s">
        <v>164</v>
      </c>
      <c r="G165" s="122" t="s">
        <v>165</v>
      </c>
      <c r="H165" s="122" t="s">
        <v>166</v>
      </c>
      <c r="I165" s="123">
        <v>225849</v>
      </c>
      <c r="J165" s="123" t="s">
        <v>91</v>
      </c>
      <c r="K165" s="124">
        <v>0</v>
      </c>
      <c r="L165" s="122" t="s">
        <v>167</v>
      </c>
      <c r="M165" s="122" t="s">
        <v>72</v>
      </c>
      <c r="N165" s="122" t="str">
        <f t="shared" si="5"/>
        <v>25.25m³-9H-0OP</v>
      </c>
    </row>
    <row r="166" spans="6:14" s="122" customFormat="1" x14ac:dyDescent="0.2">
      <c r="F166" s="122" t="s">
        <v>168</v>
      </c>
      <c r="G166" s="122" t="s">
        <v>169</v>
      </c>
      <c r="H166" s="122" t="s">
        <v>170</v>
      </c>
      <c r="I166" s="123">
        <v>374201</v>
      </c>
      <c r="J166" s="123" t="s">
        <v>112</v>
      </c>
      <c r="K166" s="124">
        <v>4</v>
      </c>
      <c r="L166" s="122" t="s">
        <v>171</v>
      </c>
      <c r="M166" s="122" t="s">
        <v>72</v>
      </c>
      <c r="N166" s="122" t="str">
        <f t="shared" si="5"/>
        <v>26.25m³-4H-4OP</v>
      </c>
    </row>
    <row r="167" spans="6:14" s="122" customFormat="1" x14ac:dyDescent="0.2">
      <c r="F167" s="122" t="s">
        <v>172</v>
      </c>
      <c r="G167" s="122" t="s">
        <v>173</v>
      </c>
      <c r="H167" s="122" t="s">
        <v>174</v>
      </c>
      <c r="I167" s="123">
        <v>323876</v>
      </c>
      <c r="J167" s="123" t="s">
        <v>112</v>
      </c>
      <c r="K167" s="124">
        <v>3</v>
      </c>
      <c r="L167" s="122" t="s">
        <v>175</v>
      </c>
      <c r="M167" s="122" t="s">
        <v>72</v>
      </c>
      <c r="N167" s="122" t="str">
        <f t="shared" si="5"/>
        <v>27.25m³-4H-3OP</v>
      </c>
    </row>
    <row r="168" spans="6:14" s="122" customFormat="1" x14ac:dyDescent="0.2">
      <c r="F168" s="122" t="s">
        <v>176</v>
      </c>
      <c r="G168" s="122" t="s">
        <v>177</v>
      </c>
      <c r="H168" s="122" t="s">
        <v>178</v>
      </c>
      <c r="I168" s="123">
        <v>283531</v>
      </c>
      <c r="J168" s="123" t="s">
        <v>112</v>
      </c>
      <c r="K168" s="124">
        <v>2</v>
      </c>
      <c r="L168" s="122" t="s">
        <v>179</v>
      </c>
      <c r="M168" s="122" t="s">
        <v>72</v>
      </c>
      <c r="N168" s="122" t="str">
        <f t="shared" si="5"/>
        <v>28.25m³-4H-2OP</v>
      </c>
    </row>
    <row r="169" spans="6:14" s="122" customFormat="1" x14ac:dyDescent="0.2">
      <c r="F169" s="122" t="s">
        <v>180</v>
      </c>
      <c r="G169" s="122" t="s">
        <v>181</v>
      </c>
      <c r="H169" s="122" t="s">
        <v>182</v>
      </c>
      <c r="I169" s="123">
        <v>236854</v>
      </c>
      <c r="J169" s="123" t="s">
        <v>112</v>
      </c>
      <c r="K169" s="124">
        <v>1</v>
      </c>
      <c r="L169" s="122" t="s">
        <v>183</v>
      </c>
      <c r="M169" s="122" t="s">
        <v>72</v>
      </c>
      <c r="N169" s="122" t="str">
        <f t="shared" si="5"/>
        <v>29.25m³-4H-1OP</v>
      </c>
    </row>
    <row r="170" spans="6:14" s="122" customFormat="1" x14ac:dyDescent="0.2">
      <c r="F170" s="122" t="s">
        <v>184</v>
      </c>
      <c r="G170" s="122" t="s">
        <v>185</v>
      </c>
      <c r="H170" s="122" t="s">
        <v>186</v>
      </c>
      <c r="I170" s="123">
        <v>179940</v>
      </c>
      <c r="J170" s="123" t="s">
        <v>112</v>
      </c>
      <c r="K170" s="124">
        <v>0</v>
      </c>
      <c r="L170" s="122" t="s">
        <v>187</v>
      </c>
      <c r="M170" s="122" t="s">
        <v>72</v>
      </c>
      <c r="N170" s="122" t="str">
        <f t="shared" si="5"/>
        <v>30.25m³-4H-0OP</v>
      </c>
    </row>
    <row r="171" spans="6:14" s="122" customFormat="1" x14ac:dyDescent="0.2">
      <c r="F171" s="122" t="s">
        <v>188</v>
      </c>
      <c r="G171" s="122" t="s">
        <v>189</v>
      </c>
      <c r="H171" s="122" t="s">
        <v>23</v>
      </c>
      <c r="I171" s="123">
        <v>239262</v>
      </c>
      <c r="J171" s="123" t="s">
        <v>70</v>
      </c>
      <c r="K171" s="124">
        <v>0</v>
      </c>
      <c r="L171" s="122" t="s">
        <v>190</v>
      </c>
      <c r="M171" s="122" t="s">
        <v>72</v>
      </c>
      <c r="N171" s="122" t="str">
        <f t="shared" si="5"/>
        <v>31.FURGON-15H</v>
      </c>
    </row>
    <row r="172" spans="6:14" s="122" customFormat="1" x14ac:dyDescent="0.2">
      <c r="F172" s="122" t="s">
        <v>191</v>
      </c>
      <c r="G172" s="122" t="s">
        <v>192</v>
      </c>
      <c r="H172" s="122" t="s">
        <v>193</v>
      </c>
      <c r="I172" s="123">
        <v>214754</v>
      </c>
      <c r="J172" s="123" t="s">
        <v>91</v>
      </c>
      <c r="K172" s="124">
        <v>0</v>
      </c>
      <c r="L172" s="122" t="s">
        <v>194</v>
      </c>
      <c r="M172" s="122" t="s">
        <v>72</v>
      </c>
      <c r="N172" s="122" t="str">
        <f t="shared" si="5"/>
        <v>32.FURGON-9H</v>
      </c>
    </row>
    <row r="173" spans="6:14" s="122" customFormat="1" x14ac:dyDescent="0.2">
      <c r="F173" s="122" t="s">
        <v>195</v>
      </c>
      <c r="G173" s="122" t="s">
        <v>196</v>
      </c>
      <c r="H173" s="122" t="s">
        <v>197</v>
      </c>
      <c r="I173" s="123">
        <v>173120</v>
      </c>
      <c r="J173" s="123" t="s">
        <v>112</v>
      </c>
      <c r="K173" s="124">
        <v>0</v>
      </c>
      <c r="L173" s="122" t="s">
        <v>198</v>
      </c>
      <c r="M173" s="122" t="s">
        <v>72</v>
      </c>
      <c r="N173" s="122" t="str">
        <f t="shared" si="5"/>
        <v>33.FURGON-4H</v>
      </c>
    </row>
    <row r="174" spans="6:14" s="122" customFormat="1" x14ac:dyDescent="0.2">
      <c r="F174" s="122" t="s">
        <v>199</v>
      </c>
      <c r="G174" s="122" t="s">
        <v>200</v>
      </c>
      <c r="H174" s="122" t="s">
        <v>41</v>
      </c>
      <c r="I174" s="123">
        <v>373234</v>
      </c>
      <c r="J174" s="123" t="s">
        <v>70</v>
      </c>
      <c r="K174" s="124">
        <v>0</v>
      </c>
      <c r="L174" s="122" t="s">
        <v>201</v>
      </c>
      <c r="M174" s="122" t="s">
        <v>72</v>
      </c>
      <c r="N174" s="122" t="str">
        <f t="shared" si="5"/>
        <v>34.4X4-15H</v>
      </c>
    </row>
    <row r="175" spans="6:14" s="122" customFormat="1" x14ac:dyDescent="0.2">
      <c r="F175" s="122" t="s">
        <v>202</v>
      </c>
      <c r="G175" s="122" t="s">
        <v>203</v>
      </c>
      <c r="H175" s="122" t="s">
        <v>204</v>
      </c>
      <c r="I175" s="123">
        <v>242399</v>
      </c>
      <c r="J175" s="123" t="s">
        <v>91</v>
      </c>
      <c r="K175" s="124">
        <v>0</v>
      </c>
      <c r="L175" s="122" t="s">
        <v>205</v>
      </c>
      <c r="M175" s="122" t="s">
        <v>72</v>
      </c>
      <c r="N175" s="122" t="str">
        <f t="shared" si="5"/>
        <v>35.4X4-9H</v>
      </c>
    </row>
    <row r="176" spans="6:14" s="122" customFormat="1" x14ac:dyDescent="0.2">
      <c r="F176" s="122" t="s">
        <v>206</v>
      </c>
      <c r="G176" s="122" t="s">
        <v>207</v>
      </c>
      <c r="H176" s="122" t="s">
        <v>208</v>
      </c>
      <c r="I176" s="123">
        <v>195220</v>
      </c>
      <c r="J176" s="123" t="s">
        <v>112</v>
      </c>
      <c r="K176" s="124">
        <v>0</v>
      </c>
      <c r="L176" s="122" t="s">
        <v>209</v>
      </c>
      <c r="M176" s="122" t="s">
        <v>72</v>
      </c>
      <c r="N176" s="122" t="str">
        <f t="shared" si="5"/>
        <v>36.4X4-4H</v>
      </c>
    </row>
    <row r="177" spans="6:14" s="122" customFormat="1" x14ac:dyDescent="0.2">
      <c r="F177" s="122" t="s">
        <v>210</v>
      </c>
      <c r="G177" s="122" t="s">
        <v>211</v>
      </c>
      <c r="H177" s="122" t="s">
        <v>212</v>
      </c>
      <c r="I177" s="123">
        <v>836001</v>
      </c>
      <c r="J177" s="123" t="s">
        <v>70</v>
      </c>
      <c r="K177" s="124">
        <v>0</v>
      </c>
      <c r="L177" s="122" t="s">
        <v>213</v>
      </c>
      <c r="M177" s="122" t="s">
        <v>72</v>
      </c>
      <c r="N177" s="122" t="str">
        <f t="shared" si="5"/>
        <v>37.MONTACARGA-15H</v>
      </c>
    </row>
    <row r="178" spans="6:14" s="122" customFormat="1" x14ac:dyDescent="0.2">
      <c r="F178" s="122" t="s">
        <v>214</v>
      </c>
      <c r="G178" s="122" t="s">
        <v>215</v>
      </c>
      <c r="H178" s="122" t="s">
        <v>216</v>
      </c>
      <c r="I178" s="123">
        <v>144356</v>
      </c>
      <c r="J178" s="123" t="s">
        <v>217</v>
      </c>
      <c r="K178" s="124">
        <v>0</v>
      </c>
      <c r="L178" s="122" t="s">
        <v>218</v>
      </c>
      <c r="M178" s="122" t="s">
        <v>72</v>
      </c>
      <c r="N178" s="122" t="str">
        <f t="shared" si="5"/>
        <v>38.MONTACARGA-1H</v>
      </c>
    </row>
    <row r="179" spans="6:14" s="122" customFormat="1" x14ac:dyDescent="0.2">
      <c r="F179" s="122" t="s">
        <v>219</v>
      </c>
      <c r="G179" s="122" t="s">
        <v>220</v>
      </c>
      <c r="H179" s="122" t="s">
        <v>221</v>
      </c>
      <c r="I179" s="123">
        <v>828620</v>
      </c>
      <c r="J179" s="123" t="s">
        <v>70</v>
      </c>
      <c r="K179" s="124">
        <v>0</v>
      </c>
      <c r="L179" s="122" t="s">
        <v>222</v>
      </c>
      <c r="M179" s="122" t="s">
        <v>72</v>
      </c>
      <c r="N179" s="122" t="str">
        <f t="shared" si="5"/>
        <v>39.GRUA-15H-</v>
      </c>
    </row>
    <row r="180" spans="6:14" s="122" customFormat="1" x14ac:dyDescent="0.2">
      <c r="F180" s="122" t="s">
        <v>223</v>
      </c>
      <c r="G180" s="122" t="s">
        <v>224</v>
      </c>
      <c r="H180" s="122" t="s">
        <v>225</v>
      </c>
      <c r="I180" s="123">
        <v>148058</v>
      </c>
      <c r="J180" s="123" t="s">
        <v>217</v>
      </c>
      <c r="K180" s="124">
        <v>0</v>
      </c>
      <c r="L180" s="122" t="s">
        <v>226</v>
      </c>
      <c r="M180" s="122" t="s">
        <v>72</v>
      </c>
      <c r="N180" s="122" t="str">
        <f t="shared" si="5"/>
        <v>40.GRUA-1H</v>
      </c>
    </row>
    <row r="181" spans="6:14" s="122" customFormat="1" x14ac:dyDescent="0.2">
      <c r="F181" s="122" t="s">
        <v>227</v>
      </c>
      <c r="G181" s="122" t="s">
        <v>228</v>
      </c>
      <c r="H181" s="122" t="s">
        <v>36</v>
      </c>
      <c r="I181" s="123">
        <v>53577</v>
      </c>
      <c r="J181" s="123" t="s">
        <v>217</v>
      </c>
      <c r="K181" s="124">
        <v>0</v>
      </c>
      <c r="L181" s="122" t="s">
        <v>229</v>
      </c>
      <c r="M181" s="122" t="s">
        <v>72</v>
      </c>
      <c r="N181" s="122" t="str">
        <f t="shared" si="5"/>
        <v>41.OPERARIO-8-H</v>
      </c>
    </row>
    <row r="182" spans="6:14" s="122" customFormat="1" x14ac:dyDescent="0.2">
      <c r="F182" s="122" t="s">
        <v>230</v>
      </c>
      <c r="G182" s="122" t="s">
        <v>231</v>
      </c>
      <c r="H182" s="122" t="s">
        <v>232</v>
      </c>
      <c r="I182" s="123">
        <v>41562</v>
      </c>
      <c r="J182" s="123" t="s">
        <v>217</v>
      </c>
      <c r="K182" s="124">
        <v>0</v>
      </c>
      <c r="L182" s="122" t="s">
        <v>233</v>
      </c>
      <c r="M182" s="122" t="s">
        <v>72</v>
      </c>
      <c r="N182" s="122" t="str">
        <f t="shared" si="5"/>
        <v>42.OPERARIO-6-H</v>
      </c>
    </row>
    <row r="183" spans="6:14" s="122" customFormat="1" x14ac:dyDescent="0.2">
      <c r="F183" s="122" t="s">
        <v>234</v>
      </c>
      <c r="G183" s="122" t="s">
        <v>235</v>
      </c>
      <c r="H183" s="122" t="s">
        <v>236</v>
      </c>
      <c r="I183" s="123">
        <v>628232</v>
      </c>
      <c r="N183" s="122" t="str">
        <f t="shared" si="5"/>
        <v>43.BOGOTA-REGION-40m³-</v>
      </c>
    </row>
    <row r="184" spans="6:14" s="122" customFormat="1" x14ac:dyDescent="0.2">
      <c r="F184" s="122" t="s">
        <v>237</v>
      </c>
      <c r="G184" s="122" t="s">
        <v>238</v>
      </c>
      <c r="H184" s="122" t="s">
        <v>239</v>
      </c>
      <c r="I184" s="123">
        <v>562619</v>
      </c>
      <c r="N184" s="122" t="str">
        <f t="shared" si="5"/>
        <v>44.BOGOTA-REGION-25m³-</v>
      </c>
    </row>
    <row r="185" spans="6:14" s="122" customFormat="1" x14ac:dyDescent="0.2">
      <c r="F185" s="122" t="s">
        <v>240</v>
      </c>
      <c r="G185" s="122" t="s">
        <v>241</v>
      </c>
      <c r="H185" s="122" t="s">
        <v>242</v>
      </c>
      <c r="I185" s="123">
        <v>418264</v>
      </c>
      <c r="N185" s="122" t="str">
        <f t="shared" si="5"/>
        <v>45.BOGOTA-REGION-FURGON-</v>
      </c>
    </row>
    <row r="186" spans="6:14" s="122" customFormat="1" x14ac:dyDescent="0.2">
      <c r="F186" s="122" t="s">
        <v>243</v>
      </c>
      <c r="G186" s="122" t="s">
        <v>244</v>
      </c>
      <c r="H186" s="122" t="s">
        <v>245</v>
      </c>
      <c r="I186" s="123">
        <v>288714</v>
      </c>
      <c r="N186" s="122" t="str">
        <f t="shared" si="5"/>
        <v>46.BOGOTA-REGION-4X4</v>
      </c>
    </row>
    <row r="187" spans="6:14" x14ac:dyDescent="0.2">
      <c r="H187" s="122" t="s">
        <v>246</v>
      </c>
      <c r="I187" s="123">
        <f>41562*6</f>
        <v>249372</v>
      </c>
      <c r="J187" s="123" t="s">
        <v>217</v>
      </c>
      <c r="N187" s="3" t="str">
        <f t="shared" si="5"/>
        <v/>
      </c>
    </row>
    <row r="188" spans="6:14" x14ac:dyDescent="0.2">
      <c r="H188" s="122" t="s">
        <v>247</v>
      </c>
      <c r="I188" s="123">
        <f>41562*8</f>
        <v>332496</v>
      </c>
      <c r="J188" s="123" t="s">
        <v>217</v>
      </c>
    </row>
    <row r="189" spans="6:14" x14ac:dyDescent="0.2">
      <c r="H189" s="122" t="s">
        <v>248</v>
      </c>
      <c r="I189" s="123">
        <f>41562*8</f>
        <v>332496</v>
      </c>
      <c r="J189" s="123" t="s">
        <v>217</v>
      </c>
    </row>
    <row r="190" spans="6:14" x14ac:dyDescent="0.2">
      <c r="H190" s="122" t="s">
        <v>249</v>
      </c>
      <c r="I190" s="123">
        <f>53577*10</f>
        <v>535770</v>
      </c>
      <c r="J190" s="123" t="s">
        <v>217</v>
      </c>
    </row>
    <row r="191" spans="6:14" x14ac:dyDescent="0.2">
      <c r="H191" s="122" t="s">
        <v>250</v>
      </c>
      <c r="I191" s="123">
        <f>53577*8</f>
        <v>428616</v>
      </c>
      <c r="J191" s="123" t="s">
        <v>217</v>
      </c>
    </row>
    <row r="192" spans="6:14" x14ac:dyDescent="0.2">
      <c r="H192" s="122" t="s">
        <v>251</v>
      </c>
      <c r="I192" s="123">
        <f>53577*10</f>
        <v>535770</v>
      </c>
      <c r="J192" s="123" t="s">
        <v>217</v>
      </c>
    </row>
  </sheetData>
  <sheetProtection selectLockedCells="1" selectUnlockedCells="1"/>
  <mergeCells count="23">
    <mergeCell ref="R2:Y2"/>
    <mergeCell ref="AA2:AE2"/>
    <mergeCell ref="A53:G53"/>
    <mergeCell ref="K71:L71"/>
    <mergeCell ref="A1:G1"/>
    <mergeCell ref="A2:G2"/>
    <mergeCell ref="I2:P2"/>
    <mergeCell ref="A94:A96"/>
    <mergeCell ref="R13:Y13"/>
    <mergeCell ref="A74:AE80"/>
    <mergeCell ref="A83:A85"/>
    <mergeCell ref="A89:A91"/>
    <mergeCell ref="B89:B91"/>
    <mergeCell ref="A73:AE73"/>
    <mergeCell ref="A14:G14"/>
    <mergeCell ref="I16:P16"/>
    <mergeCell ref="R18:Y18"/>
    <mergeCell ref="A24:G24"/>
    <mergeCell ref="A25:G25"/>
    <mergeCell ref="A33:G33"/>
    <mergeCell ref="A42:G42"/>
    <mergeCell ref="A43:G43"/>
    <mergeCell ref="J47:P66"/>
  </mergeCells>
  <dataValidations count="4">
    <dataValidation type="list" allowBlank="1" showInputMessage="1" showErrorMessage="1" sqref="F40" xr:uid="{BC86224E-071B-4C4E-8513-E4C201B24933}">
      <formula1>$H$140:$H$185</formula1>
    </dataValidation>
    <dataValidation type="list" allowBlank="1" showInputMessage="1" showErrorMessage="1" sqref="O9:O15 O20:O25 F47:F52 F17:F19 F31:F32 X7:X8 F65" xr:uid="{D68AFEDA-05B5-D742-95A7-7C990D6FECE9}">
      <formula1>$H$140:$H$186</formula1>
    </dataValidation>
    <dataValidation type="list" allowBlank="1" showInputMessage="1" showErrorMessage="1" sqref="F20:F22 F12:F13" xr:uid="{D21999F5-0E54-0348-8CAA-4A29D539EF79}">
      <formula1>$H$141:$H$186</formula1>
    </dataValidation>
    <dataValidation type="list" allowBlank="1" showInputMessage="1" showErrorMessage="1" sqref="X20:X24 O4:O8 X4:X6 F55:F64 O18:O19 X15:X16 F16 F35:F39 F27:F30 F4:F11" xr:uid="{1418D710-E7EB-6C48-A7EF-70E546B95FC6}">
      <formula1>$H$140:$H$192</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0D01C-FCA9-D340-BCCF-7295421A39AF}">
  <sheetPr>
    <tabColor rgb="FFFF0000"/>
  </sheetPr>
  <dimension ref="A1:AE192"/>
  <sheetViews>
    <sheetView view="pageBreakPreview" topLeftCell="I57" zoomScaleNormal="59" zoomScaleSheetLayoutView="100" workbookViewId="0">
      <selection activeCell="V32" sqref="V32"/>
    </sheetView>
  </sheetViews>
  <sheetFormatPr baseColWidth="10" defaultColWidth="11.42578125" defaultRowHeight="12.75" x14ac:dyDescent="0.2"/>
  <cols>
    <col min="1" max="1" width="58.42578125" style="3" customWidth="1"/>
    <col min="2" max="2" width="27.42578125" style="3" customWidth="1"/>
    <col min="3" max="3" width="20.85546875" style="3" customWidth="1"/>
    <col min="4" max="5" width="44.4257812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51.85546875" style="3" customWidth="1"/>
    <col min="16" max="16" width="29.28515625" style="3" customWidth="1"/>
    <col min="17" max="17" width="23.85546875" style="3" customWidth="1"/>
    <col min="18" max="18" width="18.140625" style="3" customWidth="1"/>
    <col min="19" max="19" width="36.42578125" style="3" customWidth="1"/>
    <col min="20" max="20" width="20.28515625" style="3" customWidth="1"/>
    <col min="21" max="21" width="19" style="3" customWidth="1"/>
    <col min="22" max="23" width="25.42578125" style="3" customWidth="1"/>
    <col min="24" max="24" width="59.2851562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379" t="s">
        <v>0</v>
      </c>
      <c r="B1" s="379"/>
      <c r="C1" s="379"/>
      <c r="D1" s="379"/>
      <c r="E1" s="379"/>
      <c r="F1" s="379"/>
      <c r="G1" s="379"/>
      <c r="H1" s="2"/>
      <c r="I1" s="2"/>
      <c r="J1" s="2"/>
      <c r="K1" s="2"/>
      <c r="L1" s="2"/>
      <c r="M1" s="2"/>
      <c r="N1" s="2"/>
      <c r="O1" s="2"/>
      <c r="P1" s="2"/>
      <c r="Q1" s="2"/>
      <c r="R1" s="2"/>
      <c r="S1" s="2"/>
      <c r="T1" s="2"/>
      <c r="U1" s="2"/>
      <c r="V1" s="2"/>
      <c r="W1" s="2"/>
      <c r="X1" s="2"/>
      <c r="Y1" s="2"/>
    </row>
    <row r="2" spans="1:31" ht="15.75" x14ac:dyDescent="0.2">
      <c r="A2" s="379" t="s">
        <v>1</v>
      </c>
      <c r="B2" s="379"/>
      <c r="C2" s="379"/>
      <c r="D2" s="379"/>
      <c r="E2" s="379"/>
      <c r="F2" s="379"/>
      <c r="G2" s="379"/>
      <c r="H2" s="2"/>
      <c r="I2" s="355" t="s">
        <v>2</v>
      </c>
      <c r="J2" s="356"/>
      <c r="K2" s="356"/>
      <c r="L2" s="356"/>
      <c r="M2" s="356"/>
      <c r="N2" s="356"/>
      <c r="O2" s="356"/>
      <c r="P2" s="358"/>
      <c r="Q2" s="2"/>
      <c r="R2" s="355" t="s">
        <v>3</v>
      </c>
      <c r="S2" s="356"/>
      <c r="T2" s="356"/>
      <c r="U2" s="356"/>
      <c r="V2" s="356"/>
      <c r="W2" s="356"/>
      <c r="X2" s="356"/>
      <c r="Y2" s="358"/>
      <c r="AA2" s="375"/>
      <c r="AB2" s="375"/>
      <c r="AC2" s="375"/>
      <c r="AD2" s="375"/>
      <c r="AE2" s="375"/>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7" t="s">
        <v>11</v>
      </c>
      <c r="S3" s="7" t="s">
        <v>4</v>
      </c>
      <c r="T3" s="8" t="s">
        <v>5</v>
      </c>
      <c r="U3" s="8" t="s">
        <v>6</v>
      </c>
      <c r="V3" s="8" t="s">
        <v>7</v>
      </c>
      <c r="W3" s="8" t="s">
        <v>8</v>
      </c>
      <c r="X3" s="8" t="s">
        <v>9</v>
      </c>
      <c r="Y3" s="8" t="s">
        <v>10</v>
      </c>
      <c r="AA3" s="4"/>
      <c r="AB3" s="9"/>
      <c r="AC3" s="9"/>
      <c r="AD3" s="9"/>
      <c r="AE3" s="9"/>
    </row>
    <row r="4" spans="1:31" ht="15.75" x14ac:dyDescent="0.25">
      <c r="A4" s="10" t="s">
        <v>12</v>
      </c>
      <c r="B4" s="11" t="str">
        <f t="shared" ref="B4:B11" si="0">+IF(F4=0,0,MID(F4,LEN(F4)-3,1))</f>
        <v>4</v>
      </c>
      <c r="C4" s="12">
        <v>1</v>
      </c>
      <c r="D4" s="12" t="s">
        <v>13</v>
      </c>
      <c r="E4" s="13" t="str">
        <f t="shared" ref="E4:E11" si="1">+IF(F4=0,0,CONCATENATE(MID(F4,FIND("-",F4,1)+1,4),"ORAS"))</f>
        <v>15 HORAS</v>
      </c>
      <c r="F4" s="14" t="s">
        <v>14</v>
      </c>
      <c r="G4" s="308">
        <f>+IF(F4="","",VLOOKUP(F4,$H$140:$I$192,2,FALSE))</f>
        <v>582964</v>
      </c>
      <c r="H4" s="2"/>
      <c r="I4" s="15" t="s">
        <v>15</v>
      </c>
      <c r="J4" s="14" t="s">
        <v>16</v>
      </c>
      <c r="K4" s="16">
        <v>3</v>
      </c>
      <c r="L4" s="17">
        <v>1</v>
      </c>
      <c r="M4" s="18" t="s">
        <v>13</v>
      </c>
      <c r="N4" s="13" t="str">
        <f>+IF(O4=0,0,CONCATENATE(MID(O4,FIND("-",O4,1)+1,4),"ORAS"))</f>
        <v>15 HORAS</v>
      </c>
      <c r="O4" s="14" t="s">
        <v>17</v>
      </c>
      <c r="P4" s="308">
        <f>+IF(O4="","",VLOOKUP(O4,$H$140:$I$192,2,FALSE))</f>
        <v>443323</v>
      </c>
      <c r="Q4" s="2"/>
      <c r="R4" s="15" t="s">
        <v>15</v>
      </c>
      <c r="S4" s="20" t="s">
        <v>18</v>
      </c>
      <c r="T4" s="16" t="str">
        <f>+IF(X4=0,0,MID(X4,LEN(X4)-3,1))</f>
        <v>4</v>
      </c>
      <c r="U4" s="329">
        <v>1</v>
      </c>
      <c r="V4" s="22" t="s">
        <v>13</v>
      </c>
      <c r="W4" s="13" t="str">
        <f>+IF(X4=0,0,CONCATENATE(MID(X4,FIND("-",X4,1)+1,4),"ORAS"))</f>
        <v>15 HORAS</v>
      </c>
      <c r="X4" s="14" t="s">
        <v>19</v>
      </c>
      <c r="Y4" s="308">
        <f>+IF(X4="","",VLOOKUP(X4,$H$140:$I$192,2,FALSE))</f>
        <v>501739</v>
      </c>
      <c r="AA4" s="23"/>
      <c r="AB4" s="24"/>
      <c r="AC4" s="24"/>
      <c r="AD4" s="25"/>
      <c r="AE4" s="26"/>
    </row>
    <row r="5" spans="1:31" ht="15.75" x14ac:dyDescent="0.25">
      <c r="A5" s="14" t="s">
        <v>20</v>
      </c>
      <c r="B5" s="11" t="str">
        <f t="shared" si="0"/>
        <v>3</v>
      </c>
      <c r="C5" s="18">
        <v>1</v>
      </c>
      <c r="D5" s="18" t="s">
        <v>13</v>
      </c>
      <c r="E5" s="13" t="str">
        <f t="shared" si="1"/>
        <v>15 HORAS</v>
      </c>
      <c r="F5" s="14" t="s">
        <v>21</v>
      </c>
      <c r="G5" s="308">
        <f>+IF(F5="","",VLOOKUP(F5,$H$140:I$192,2,FALSE))</f>
        <v>514916</v>
      </c>
      <c r="H5" s="2"/>
      <c r="I5" s="15" t="s">
        <v>15</v>
      </c>
      <c r="J5" s="14" t="s">
        <v>22</v>
      </c>
      <c r="K5" s="16">
        <v>0</v>
      </c>
      <c r="L5" s="17">
        <v>1</v>
      </c>
      <c r="M5" s="18" t="s">
        <v>13</v>
      </c>
      <c r="N5" s="13" t="str">
        <f>+IF(O5=0,0,CONCATENATE(MID(O5,FIND("-",O5,1)+1,4),"ORAS"))</f>
        <v>15 HORAS</v>
      </c>
      <c r="O5" s="14" t="s">
        <v>23</v>
      </c>
      <c r="P5" s="308">
        <f>+IF(O5="","",VLOOKUP(O5,$H$140:$I$192,2,FALSE))</f>
        <v>239262</v>
      </c>
      <c r="Q5" s="2"/>
      <c r="R5" s="15" t="s">
        <v>15</v>
      </c>
      <c r="S5" s="20" t="s">
        <v>24</v>
      </c>
      <c r="T5" s="16" t="str">
        <f>+IF(X5=0,0,MID(X5,LEN(X5)-3,1))</f>
        <v>4</v>
      </c>
      <c r="U5" s="329">
        <v>1</v>
      </c>
      <c r="V5" s="22" t="s">
        <v>13</v>
      </c>
      <c r="W5" s="13" t="str">
        <f>+IF(X5=0,0,CONCATENATE(MID(X5,FIND("-",X5,1)+1,4),"ORAS"))</f>
        <v>15 HORAS</v>
      </c>
      <c r="X5" s="14" t="s">
        <v>19</v>
      </c>
      <c r="Y5" s="308">
        <f>+IF(X5="","",VLOOKUP(X5,$H$140:$I$192,2,FALSE))</f>
        <v>501739</v>
      </c>
      <c r="AA5" s="23"/>
      <c r="AB5" s="24"/>
      <c r="AC5" s="24"/>
      <c r="AD5" s="25"/>
      <c r="AE5" s="26"/>
    </row>
    <row r="6" spans="1:31" ht="15.75" x14ac:dyDescent="0.25">
      <c r="A6" s="14" t="s">
        <v>25</v>
      </c>
      <c r="B6" s="11" t="str">
        <f t="shared" si="0"/>
        <v>3</v>
      </c>
      <c r="C6" s="18">
        <v>1</v>
      </c>
      <c r="D6" s="18" t="s">
        <v>13</v>
      </c>
      <c r="E6" s="13" t="str">
        <f t="shared" si="1"/>
        <v>15 HORAS</v>
      </c>
      <c r="F6" s="14" t="s">
        <v>21</v>
      </c>
      <c r="G6" s="308">
        <f>+IF(F6="","",VLOOKUP(F6,$H$140:I$192,2,FALSE))</f>
        <v>514916</v>
      </c>
      <c r="H6" s="2"/>
      <c r="I6" s="15" t="s">
        <v>15</v>
      </c>
      <c r="J6" s="14" t="s">
        <v>252</v>
      </c>
      <c r="K6" s="16">
        <v>4</v>
      </c>
      <c r="L6" s="17">
        <v>1</v>
      </c>
      <c r="M6" s="18" t="s">
        <v>13</v>
      </c>
      <c r="N6" s="13" t="str">
        <f>+IF(O6=0,0,CONCATENATE(MID(O6,FIND("-",O6,1)+1,4),"ORAS"))</f>
        <v>15 HORAS</v>
      </c>
      <c r="O6" s="14" t="s">
        <v>19</v>
      </c>
      <c r="P6" s="308">
        <f>+IF(O6="","",VLOOKUP(O6,$H$140:$I$192,2,FALSE))</f>
        <v>501739</v>
      </c>
      <c r="Q6" s="2"/>
      <c r="R6" s="15" t="s">
        <v>15</v>
      </c>
      <c r="S6" s="20" t="s">
        <v>26</v>
      </c>
      <c r="T6" s="16" t="str">
        <f>+IF(X6=0,0,MID(X6,LEN(X6)-3,1))</f>
        <v>4</v>
      </c>
      <c r="U6" s="329">
        <v>1</v>
      </c>
      <c r="V6" s="22" t="s">
        <v>13</v>
      </c>
      <c r="W6" s="13" t="str">
        <f>+IF(X6=0,0,CONCATENATE(MID(X6,FIND("-",X6,1)+1,4),"ORAS"))</f>
        <v>15 HORAS</v>
      </c>
      <c r="X6" s="14" t="s">
        <v>19</v>
      </c>
      <c r="Y6" s="308">
        <f>+IF(X6="","",VLOOKUP(X6,$H$140:$I$192,2,FALSE))</f>
        <v>501739</v>
      </c>
      <c r="AA6" s="23"/>
      <c r="AB6" s="24"/>
      <c r="AC6" s="24"/>
      <c r="AD6" s="25"/>
      <c r="AE6" s="26"/>
    </row>
    <row r="7" spans="1:31" ht="15.75" x14ac:dyDescent="0.25">
      <c r="A7" s="14" t="s">
        <v>27</v>
      </c>
      <c r="B7" s="11" t="str">
        <f t="shared" si="0"/>
        <v>3</v>
      </c>
      <c r="C7" s="18">
        <v>1</v>
      </c>
      <c r="D7" s="18" t="s">
        <v>13</v>
      </c>
      <c r="E7" s="13" t="str">
        <f t="shared" si="1"/>
        <v>15 HORAS</v>
      </c>
      <c r="F7" s="14" t="s">
        <v>21</v>
      </c>
      <c r="G7" s="308">
        <f>+IF(F7="","",VLOOKUP(F7,$H$140:I$192,2,FALSE))</f>
        <v>514916</v>
      </c>
      <c r="H7" s="2"/>
      <c r="I7" s="15" t="s">
        <v>15</v>
      </c>
      <c r="J7" s="125" t="s">
        <v>346</v>
      </c>
      <c r="K7" s="16">
        <v>4</v>
      </c>
      <c r="L7" s="17">
        <v>1</v>
      </c>
      <c r="M7" s="18" t="s">
        <v>13</v>
      </c>
      <c r="N7" s="13" t="str">
        <f>+IF(O7=0,0,CONCATENATE(MID(O7,FIND("-",O7,1)+1,4),"ORAS"))</f>
        <v>15 HORAS</v>
      </c>
      <c r="O7" s="14" t="s">
        <v>17</v>
      </c>
      <c r="P7" s="316">
        <f>+IF(O7="","",VLOOKUP(O7,$H$140:$I$192,2,FALSE))</f>
        <v>443323</v>
      </c>
      <c r="Q7" s="2"/>
      <c r="R7" s="27"/>
      <c r="S7" s="330"/>
      <c r="T7" s="16"/>
      <c r="U7" s="331"/>
      <c r="V7" s="12"/>
      <c r="W7" s="13"/>
      <c r="X7" s="14">
        <v>0</v>
      </c>
      <c r="Y7" s="30">
        <f>+IF(X7="","",VLOOKUP(X7,$H$140:$I$186,2,FALSE))</f>
        <v>0</v>
      </c>
      <c r="AA7" s="23"/>
      <c r="AB7" s="23"/>
      <c r="AC7" s="23"/>
      <c r="AD7" s="23"/>
      <c r="AE7" s="23"/>
    </row>
    <row r="8" spans="1:31" ht="15.75" x14ac:dyDescent="0.25">
      <c r="A8" s="14" t="s">
        <v>28</v>
      </c>
      <c r="B8" s="11" t="str">
        <f t="shared" si="0"/>
        <v>3</v>
      </c>
      <c r="C8" s="18">
        <v>1</v>
      </c>
      <c r="D8" s="18" t="s">
        <v>13</v>
      </c>
      <c r="E8" s="13" t="str">
        <f t="shared" si="1"/>
        <v>15 HORAS</v>
      </c>
      <c r="F8" s="14" t="s">
        <v>21</v>
      </c>
      <c r="G8" s="308">
        <f>+IF(F8="","",VLOOKUP(F8,$H$140:I$192,2,FALSE))</f>
        <v>514916</v>
      </c>
      <c r="H8" s="2"/>
      <c r="I8" s="15"/>
      <c r="J8" s="125"/>
      <c r="K8" s="126"/>
      <c r="L8" s="127"/>
      <c r="M8" s="18"/>
      <c r="N8" s="13">
        <f>+IF(O8=0,0,CONCATENATE(MID(O8,FIND("-",O8,1)+1,4),"ORAS"))</f>
        <v>0</v>
      </c>
      <c r="O8" s="14">
        <v>0</v>
      </c>
      <c r="P8" s="19">
        <f>+IF(O8="","",VLOOKUP(O8,$H$140:$I$192,2,FALSE))</f>
        <v>0</v>
      </c>
      <c r="Q8" s="2"/>
      <c r="R8" s="15"/>
      <c r="S8" s="332"/>
      <c r="T8" s="329"/>
      <c r="U8" s="329">
        <f>+U4+U5+U6+U7</f>
        <v>3</v>
      </c>
      <c r="V8" s="18"/>
      <c r="W8" s="14"/>
      <c r="X8" s="14"/>
      <c r="Y8" s="32"/>
      <c r="AA8" s="23"/>
      <c r="AB8" s="23"/>
      <c r="AC8" s="23"/>
      <c r="AD8" s="23"/>
      <c r="AE8" s="23"/>
    </row>
    <row r="9" spans="1:31" ht="15.75" x14ac:dyDescent="0.25">
      <c r="A9" s="33" t="s">
        <v>29</v>
      </c>
      <c r="B9" s="11" t="str">
        <f t="shared" si="0"/>
        <v>3</v>
      </c>
      <c r="C9" s="18">
        <v>1</v>
      </c>
      <c r="D9" s="18" t="s">
        <v>13</v>
      </c>
      <c r="E9" s="13" t="str">
        <f t="shared" si="1"/>
        <v>15 HORAS</v>
      </c>
      <c r="F9" s="14" t="s">
        <v>21</v>
      </c>
      <c r="G9" s="308">
        <f>+IF(F9="","",VLOOKUP(F9,$H$140:I$192,2,FALSE))</f>
        <v>514916</v>
      </c>
      <c r="H9" s="2"/>
      <c r="I9" s="34"/>
      <c r="J9" s="14"/>
      <c r="K9" s="16"/>
      <c r="L9" s="35"/>
      <c r="M9" s="35"/>
      <c r="N9" s="14"/>
      <c r="O9" s="14"/>
      <c r="P9" s="36"/>
      <c r="Q9" s="2"/>
      <c r="R9" s="37"/>
      <c r="S9" s="333"/>
      <c r="T9" s="333"/>
      <c r="U9" s="333"/>
      <c r="V9" s="39"/>
      <c r="W9" s="39"/>
      <c r="X9" s="39"/>
      <c r="Y9" s="2"/>
      <c r="AA9" s="23"/>
      <c r="AB9" s="23"/>
      <c r="AC9" s="23"/>
      <c r="AD9" s="23"/>
      <c r="AE9" s="23"/>
    </row>
    <row r="10" spans="1:31" ht="15.75" x14ac:dyDescent="0.25">
      <c r="A10" s="33" t="s">
        <v>30</v>
      </c>
      <c r="B10" s="11" t="str">
        <f t="shared" si="0"/>
        <v>4</v>
      </c>
      <c r="C10" s="18">
        <v>1</v>
      </c>
      <c r="D10" s="18" t="s">
        <v>13</v>
      </c>
      <c r="E10" s="13" t="str">
        <f t="shared" si="1"/>
        <v>15 HORAS</v>
      </c>
      <c r="F10" s="14" t="s">
        <v>14</v>
      </c>
      <c r="G10" s="308">
        <f>+IF(F10="","",VLOOKUP(F10,$H$140:I$192,2,FALSE))</f>
        <v>582964</v>
      </c>
      <c r="H10" s="2"/>
      <c r="I10" s="34"/>
      <c r="J10" s="14"/>
      <c r="K10" s="16"/>
      <c r="L10" s="35"/>
      <c r="M10" s="35"/>
      <c r="N10" s="14"/>
      <c r="O10" s="14"/>
      <c r="P10" s="36"/>
      <c r="Q10" s="2"/>
      <c r="R10" s="37"/>
      <c r="S10" s="333"/>
      <c r="T10" s="333"/>
      <c r="U10" s="333"/>
      <c r="V10" s="39"/>
      <c r="W10" s="39"/>
      <c r="X10" s="39"/>
      <c r="Y10" s="2"/>
      <c r="AA10" s="23"/>
      <c r="AB10" s="23"/>
      <c r="AC10" s="23"/>
      <c r="AD10" s="23"/>
      <c r="AE10" s="23"/>
    </row>
    <row r="11" spans="1:31" ht="15.75" x14ac:dyDescent="0.25">
      <c r="A11" s="33" t="s">
        <v>31</v>
      </c>
      <c r="B11" s="11" t="str">
        <f t="shared" si="0"/>
        <v>4</v>
      </c>
      <c r="C11" s="12">
        <v>1</v>
      </c>
      <c r="D11" s="12" t="s">
        <v>13</v>
      </c>
      <c r="E11" s="13" t="str">
        <f t="shared" si="1"/>
        <v>15 HORAS</v>
      </c>
      <c r="F11" s="14" t="s">
        <v>14</v>
      </c>
      <c r="G11" s="308">
        <f>+IF(F11="","",VLOOKUP(F11,$H$140:$I$192,2,FALSE))</f>
        <v>582964</v>
      </c>
      <c r="H11" s="2"/>
      <c r="I11" s="34"/>
      <c r="J11" s="14"/>
      <c r="K11" s="16"/>
      <c r="L11" s="35"/>
      <c r="M11" s="35"/>
      <c r="N11" s="14"/>
      <c r="O11" s="14"/>
      <c r="P11" s="40"/>
      <c r="Q11" s="2"/>
      <c r="R11" s="37"/>
      <c r="S11" s="333"/>
      <c r="T11" s="333"/>
      <c r="U11" s="333"/>
      <c r="V11" s="39"/>
      <c r="W11" s="39"/>
      <c r="X11" s="39"/>
      <c r="Y11" s="2"/>
      <c r="AA11" s="23"/>
      <c r="AB11" s="23"/>
      <c r="AC11" s="23"/>
      <c r="AD11" s="23"/>
      <c r="AE11" s="23"/>
    </row>
    <row r="12" spans="1:31" ht="15.75" x14ac:dyDescent="0.25">
      <c r="A12" s="41"/>
      <c r="B12" s="11"/>
      <c r="C12" s="18"/>
      <c r="D12" s="18"/>
      <c r="E12" s="13"/>
      <c r="F12" s="14"/>
      <c r="G12" s="30"/>
      <c r="H12" s="2"/>
      <c r="I12" s="34"/>
      <c r="J12" s="14"/>
      <c r="K12" s="16"/>
      <c r="L12" s="35"/>
      <c r="M12" s="35"/>
      <c r="N12" s="14"/>
      <c r="O12" s="14"/>
      <c r="P12" s="40"/>
      <c r="Q12" s="2"/>
      <c r="R12" s="37"/>
      <c r="S12" s="333"/>
      <c r="T12" s="333"/>
      <c r="U12" s="333"/>
      <c r="V12" s="39"/>
      <c r="W12" s="39"/>
      <c r="X12" s="39"/>
      <c r="Y12" s="2"/>
      <c r="AA12" s="23"/>
      <c r="AB12" s="23"/>
      <c r="AC12" s="23"/>
      <c r="AD12" s="23"/>
      <c r="AE12" s="23"/>
    </row>
    <row r="13" spans="1:31" ht="15.75" x14ac:dyDescent="0.25">
      <c r="A13" s="42"/>
      <c r="B13" s="11">
        <f>+B10+B9+B8+B7+B6+B5+B4+B11</f>
        <v>27</v>
      </c>
      <c r="C13" s="11">
        <f>+C10+C9+C8+C7+C6+C5+C4</f>
        <v>7</v>
      </c>
      <c r="D13" s="43"/>
      <c r="E13" s="43"/>
      <c r="F13" s="14"/>
      <c r="G13" s="44">
        <f>SUM(G4:G12)</f>
        <v>4323472</v>
      </c>
      <c r="H13" s="2"/>
      <c r="I13" s="34"/>
      <c r="J13" s="14"/>
      <c r="K13" s="16"/>
      <c r="L13" s="17"/>
      <c r="M13" s="35"/>
      <c r="N13" s="14"/>
      <c r="O13" s="14"/>
      <c r="P13" s="45"/>
      <c r="Q13" s="2"/>
      <c r="R13" s="355" t="s">
        <v>32</v>
      </c>
      <c r="S13" s="356"/>
      <c r="T13" s="356"/>
      <c r="U13" s="356"/>
      <c r="V13" s="357"/>
      <c r="W13" s="357"/>
      <c r="X13" s="357"/>
      <c r="Y13" s="358"/>
      <c r="AA13" s="23"/>
      <c r="AB13" s="23"/>
      <c r="AC13" s="23"/>
      <c r="AD13" s="23"/>
      <c r="AE13" s="23"/>
    </row>
    <row r="14" spans="1:31" ht="16.5" customHeight="1" x14ac:dyDescent="0.25">
      <c r="A14" s="368" t="s">
        <v>33</v>
      </c>
      <c r="B14" s="368"/>
      <c r="C14" s="368"/>
      <c r="D14" s="368"/>
      <c r="E14" s="368"/>
      <c r="F14" s="368"/>
      <c r="G14" s="368"/>
      <c r="H14" s="2"/>
      <c r="I14" s="34"/>
      <c r="J14" s="14"/>
      <c r="K14" s="16"/>
      <c r="L14" s="17"/>
      <c r="M14" s="35"/>
      <c r="N14" s="14"/>
      <c r="O14" s="14"/>
      <c r="P14" s="46"/>
      <c r="Q14" s="2"/>
      <c r="R14" s="7" t="s">
        <v>11</v>
      </c>
      <c r="S14" s="7" t="s">
        <v>4</v>
      </c>
      <c r="T14" s="8" t="s">
        <v>5</v>
      </c>
      <c r="U14" s="8" t="s">
        <v>6</v>
      </c>
      <c r="V14" s="8" t="s">
        <v>7</v>
      </c>
      <c r="W14" s="8" t="s">
        <v>8</v>
      </c>
      <c r="X14" s="8" t="s">
        <v>9</v>
      </c>
      <c r="Y14" s="8" t="s">
        <v>10</v>
      </c>
      <c r="Z14" s="47"/>
    </row>
    <row r="15" spans="1:31" ht="15.75" x14ac:dyDescent="0.2">
      <c r="A15" s="1" t="s">
        <v>4</v>
      </c>
      <c r="B15" s="5" t="s">
        <v>5</v>
      </c>
      <c r="C15" s="5" t="s">
        <v>6</v>
      </c>
      <c r="D15" s="5" t="s">
        <v>7</v>
      </c>
      <c r="E15" s="5" t="s">
        <v>8</v>
      </c>
      <c r="F15" s="48" t="s">
        <v>9</v>
      </c>
      <c r="G15" s="5" t="s">
        <v>10</v>
      </c>
      <c r="H15" s="2"/>
      <c r="I15" s="42"/>
      <c r="J15" s="42"/>
      <c r="K15" s="42"/>
      <c r="L15" s="42"/>
      <c r="M15" s="42"/>
      <c r="N15" s="14"/>
      <c r="O15" s="14"/>
      <c r="P15" s="49"/>
      <c r="Q15" s="2"/>
      <c r="R15" s="50" t="s">
        <v>15</v>
      </c>
      <c r="S15" s="20" t="s">
        <v>34</v>
      </c>
      <c r="T15" s="16">
        <v>1</v>
      </c>
      <c r="U15" s="20">
        <v>0</v>
      </c>
      <c r="V15" s="20" t="s">
        <v>35</v>
      </c>
      <c r="W15" s="13" t="str">
        <f>+IF(X15=0,0,CONCATENATE(MID(X15,FIND("-",X15,1)+1,4),"ORAS"))</f>
        <v>08 HORAS</v>
      </c>
      <c r="X15" s="14" t="s">
        <v>36</v>
      </c>
      <c r="Y15" s="316">
        <f>+(IF(X15="","",VLOOKUP(X15,$H$140:$I$192,2,FALSE)))*T15</f>
        <v>53577</v>
      </c>
    </row>
    <row r="16" spans="1:31" ht="18.75" customHeight="1" x14ac:dyDescent="0.2">
      <c r="A16" s="33"/>
      <c r="B16" s="51">
        <f>+IF(F16=0,0,MID(F16,LEN(F16)-3,1))</f>
        <v>0</v>
      </c>
      <c r="C16" s="331"/>
      <c r="D16" s="12"/>
      <c r="E16" s="13">
        <f>+IF(F16=0,0,CONCATENATE(MID(F16,FIND("-",F16,1)+1,4),"ORAS"))</f>
        <v>0</v>
      </c>
      <c r="F16" s="14">
        <v>0</v>
      </c>
      <c r="G16" s="19">
        <f>+IF(F16="","",VLOOKUP(F16,$H$140:I$192,2,FALSE))</f>
        <v>0</v>
      </c>
      <c r="H16" s="2"/>
      <c r="I16" s="369" t="s">
        <v>37</v>
      </c>
      <c r="J16" s="357"/>
      <c r="K16" s="357"/>
      <c r="L16" s="357"/>
      <c r="M16" s="357"/>
      <c r="N16" s="357"/>
      <c r="O16" s="357"/>
      <c r="P16" s="370"/>
      <c r="Q16" s="2"/>
      <c r="R16" s="50" t="s">
        <v>15</v>
      </c>
      <c r="S16" s="20" t="s">
        <v>38</v>
      </c>
      <c r="T16" s="16">
        <v>2</v>
      </c>
      <c r="U16" s="20">
        <v>0</v>
      </c>
      <c r="V16" s="20" t="s">
        <v>35</v>
      </c>
      <c r="W16" s="14" t="str">
        <f>+IF(X16=0,0,CONCATENATE(MID(X16,FIND("-",X16,1)+1,4),"ORAS"))</f>
        <v>08 HORAS</v>
      </c>
      <c r="X16" s="14" t="s">
        <v>36</v>
      </c>
      <c r="Y16" s="317">
        <f>+(IF(X16="","",VLOOKUP(X16,$H$140:$I$192,2,FALSE)))*T16</f>
        <v>107154</v>
      </c>
    </row>
    <row r="17" spans="1:31" ht="23.25" customHeight="1" x14ac:dyDescent="0.2">
      <c r="A17" s="52"/>
      <c r="B17" s="16"/>
      <c r="C17" s="329"/>
      <c r="D17" s="18"/>
      <c r="E17" s="14"/>
      <c r="F17" s="14"/>
      <c r="G17" s="30"/>
      <c r="H17" s="2"/>
      <c r="I17" s="7" t="s">
        <v>11</v>
      </c>
      <c r="J17" s="7" t="s">
        <v>4</v>
      </c>
      <c r="K17" s="8" t="s">
        <v>5</v>
      </c>
      <c r="L17" s="8" t="s">
        <v>6</v>
      </c>
      <c r="M17" s="8" t="s">
        <v>7</v>
      </c>
      <c r="N17" s="8" t="s">
        <v>8</v>
      </c>
      <c r="O17" s="8" t="s">
        <v>9</v>
      </c>
      <c r="P17" s="8" t="s">
        <v>10</v>
      </c>
      <c r="Q17" s="2"/>
      <c r="R17" s="2"/>
      <c r="S17" s="2"/>
      <c r="T17" s="2"/>
      <c r="U17" s="2"/>
      <c r="V17" s="2"/>
      <c r="W17" s="2"/>
      <c r="X17" s="2"/>
      <c r="Y17" s="2"/>
    </row>
    <row r="18" spans="1:31" ht="15.75" x14ac:dyDescent="0.25">
      <c r="A18" s="52"/>
      <c r="B18" s="16"/>
      <c r="C18" s="329"/>
      <c r="D18" s="18"/>
      <c r="E18" s="14"/>
      <c r="F18" s="14"/>
      <c r="G18" s="30"/>
      <c r="H18" s="2"/>
      <c r="I18" s="15"/>
      <c r="J18" s="14"/>
      <c r="K18" s="16"/>
      <c r="L18" s="17"/>
      <c r="M18" s="18"/>
      <c r="N18" s="13">
        <f>+IF(O18=0,0,CONCATENATE(MID(O18,FIND("-",O18,1)+1,4),"ORAS"))</f>
        <v>0</v>
      </c>
      <c r="O18" s="14">
        <v>0</v>
      </c>
      <c r="P18" s="19">
        <f>+IF(O18="","",VLOOKUP(O18,$H$140:$I$192,2,FALSE))</f>
        <v>0</v>
      </c>
      <c r="Q18" s="2"/>
      <c r="R18" s="355" t="s">
        <v>39</v>
      </c>
      <c r="S18" s="356"/>
      <c r="T18" s="356"/>
      <c r="U18" s="356"/>
      <c r="V18" s="356"/>
      <c r="W18" s="356"/>
      <c r="X18" s="356"/>
      <c r="Y18" s="358"/>
    </row>
    <row r="19" spans="1:31" ht="15.75" x14ac:dyDescent="0.25">
      <c r="A19" s="53"/>
      <c r="B19" s="16"/>
      <c r="C19" s="18"/>
      <c r="D19" s="18"/>
      <c r="E19" s="14"/>
      <c r="F19" s="14"/>
      <c r="G19" s="30"/>
      <c r="H19" s="2"/>
      <c r="I19" s="15"/>
      <c r="J19" s="14"/>
      <c r="K19" s="16"/>
      <c r="L19" s="54"/>
      <c r="M19" s="55"/>
      <c r="N19" s="13"/>
      <c r="O19" s="14">
        <v>0</v>
      </c>
      <c r="P19" s="19">
        <f>+IF(O19="","",VLOOKUP(O19,$H$140:$I$192,2,FALSE))</f>
        <v>0</v>
      </c>
      <c r="Q19" s="2"/>
      <c r="R19" s="7" t="s">
        <v>11</v>
      </c>
      <c r="S19" s="7" t="s">
        <v>4</v>
      </c>
      <c r="T19" s="8" t="s">
        <v>5</v>
      </c>
      <c r="U19" s="8" t="s">
        <v>6</v>
      </c>
      <c r="V19" s="8" t="s">
        <v>7</v>
      </c>
      <c r="W19" s="8" t="s">
        <v>8</v>
      </c>
      <c r="X19" s="8" t="s">
        <v>9</v>
      </c>
      <c r="Y19" s="8" t="s">
        <v>10</v>
      </c>
      <c r="AA19" s="23"/>
      <c r="AB19" s="23"/>
      <c r="AC19" s="23"/>
      <c r="AD19" s="23"/>
      <c r="AE19" s="23"/>
    </row>
    <row r="20" spans="1:31" ht="15.75" x14ac:dyDescent="0.25">
      <c r="A20" s="56"/>
      <c r="B20" s="16"/>
      <c r="C20" s="57"/>
      <c r="D20" s="57"/>
      <c r="E20" s="14"/>
      <c r="F20" s="14"/>
      <c r="G20" s="30"/>
      <c r="H20" s="2"/>
      <c r="I20" s="34"/>
      <c r="J20" s="13"/>
      <c r="K20" s="16"/>
      <c r="L20" s="58"/>
      <c r="M20" s="22"/>
      <c r="N20" s="13"/>
      <c r="O20" s="14"/>
      <c r="P20" s="59"/>
      <c r="Q20" s="2"/>
      <c r="R20" s="5" t="s">
        <v>40</v>
      </c>
      <c r="S20" s="20" t="s">
        <v>34</v>
      </c>
      <c r="T20" s="16" t="s">
        <v>35</v>
      </c>
      <c r="U20" s="20" t="s">
        <v>35</v>
      </c>
      <c r="V20" s="12" t="s">
        <v>13</v>
      </c>
      <c r="W20" s="13">
        <f t="shared" ref="W20:W24" si="2">+IF(X20=0,0,CONCATENATE(MID(X20,FIND("-",X20,1)+1,4),"ORAS"))</f>
        <v>0</v>
      </c>
      <c r="X20" s="14">
        <v>0</v>
      </c>
      <c r="Y20" s="316">
        <f t="shared" ref="Y20:Y26" si="3">+IF(X20="","",VLOOKUP(X20,$H$140:$I$192,2,FALSE))</f>
        <v>0</v>
      </c>
      <c r="AA20" s="23"/>
      <c r="AB20" s="23"/>
      <c r="AC20" s="23"/>
      <c r="AD20" s="23"/>
      <c r="AE20" s="23"/>
    </row>
    <row r="21" spans="1:31" ht="15.75" x14ac:dyDescent="0.25">
      <c r="A21" s="56"/>
      <c r="B21" s="16"/>
      <c r="C21" s="57"/>
      <c r="D21" s="57"/>
      <c r="E21" s="14"/>
      <c r="F21" s="14"/>
      <c r="G21" s="30"/>
      <c r="H21" s="2"/>
      <c r="I21" s="34"/>
      <c r="J21" s="13"/>
      <c r="K21" s="16"/>
      <c r="L21" s="58"/>
      <c r="M21" s="22"/>
      <c r="N21" s="13"/>
      <c r="O21" s="14"/>
      <c r="P21" s="59"/>
      <c r="Q21" s="2"/>
      <c r="R21" s="324" t="s">
        <v>40</v>
      </c>
      <c r="S21" s="20" t="s">
        <v>34</v>
      </c>
      <c r="T21" s="16" t="s">
        <v>35</v>
      </c>
      <c r="U21" s="20" t="s">
        <v>35</v>
      </c>
      <c r="V21" s="12" t="s">
        <v>13</v>
      </c>
      <c r="W21" s="13" t="str">
        <f t="shared" si="2"/>
        <v>15 HORAS</v>
      </c>
      <c r="X21" s="14" t="s">
        <v>41</v>
      </c>
      <c r="Y21" s="308">
        <f t="shared" si="3"/>
        <v>373234</v>
      </c>
      <c r="AA21" s="23"/>
      <c r="AB21" s="23"/>
      <c r="AC21" s="23"/>
      <c r="AD21" s="23"/>
      <c r="AE21" s="23"/>
    </row>
    <row r="22" spans="1:31" ht="15.75" x14ac:dyDescent="0.25">
      <c r="A22" s="56"/>
      <c r="B22" s="16"/>
      <c r="C22" s="57"/>
      <c r="D22" s="57"/>
      <c r="E22" s="14"/>
      <c r="F22" s="57"/>
      <c r="G22" s="30"/>
      <c r="H22" s="2"/>
      <c r="I22" s="34"/>
      <c r="J22" s="13"/>
      <c r="K22" s="16"/>
      <c r="L22" s="58"/>
      <c r="M22" s="22"/>
      <c r="N22" s="13"/>
      <c r="O22" s="14"/>
      <c r="P22" s="59"/>
      <c r="Q22" s="2"/>
      <c r="R22" s="50" t="s">
        <v>15</v>
      </c>
      <c r="S22" s="20" t="s">
        <v>34</v>
      </c>
      <c r="T22" s="16" t="s">
        <v>35</v>
      </c>
      <c r="U22" s="20">
        <v>1</v>
      </c>
      <c r="V22" s="12" t="s">
        <v>13</v>
      </c>
      <c r="W22" s="13" t="str">
        <f t="shared" si="2"/>
        <v>15 HORAS</v>
      </c>
      <c r="X22" s="14" t="s">
        <v>23</v>
      </c>
      <c r="Y22" s="308">
        <f t="shared" si="3"/>
        <v>239262</v>
      </c>
      <c r="AA22" s="23"/>
      <c r="AB22" s="23"/>
      <c r="AC22" s="23"/>
      <c r="AD22" s="23"/>
      <c r="AE22" s="23"/>
    </row>
    <row r="23" spans="1:31" ht="15.75" x14ac:dyDescent="0.25">
      <c r="A23" s="60" t="s">
        <v>42</v>
      </c>
      <c r="B23" s="61">
        <f>SUM(B4:B13)+B16+B17+B18+B19+B20+B22</f>
        <v>27</v>
      </c>
      <c r="C23" s="61">
        <f>+C4+C5+C6+C7+C8+C9+C10+C16</f>
        <v>7</v>
      </c>
      <c r="D23" s="62"/>
      <c r="E23" s="63"/>
      <c r="F23" s="62"/>
      <c r="G23" s="44">
        <f>SUM(G13,G16:G22)</f>
        <v>4323472</v>
      </c>
      <c r="H23" s="2"/>
      <c r="I23" s="34"/>
      <c r="J23" s="14"/>
      <c r="K23" s="16"/>
      <c r="L23" s="54"/>
      <c r="M23" s="54"/>
      <c r="N23" s="13"/>
      <c r="O23" s="14"/>
      <c r="P23" s="59"/>
      <c r="Q23" s="2"/>
      <c r="R23" s="50" t="s">
        <v>15</v>
      </c>
      <c r="S23" s="20" t="s">
        <v>34</v>
      </c>
      <c r="T23" s="16" t="s">
        <v>35</v>
      </c>
      <c r="U23" s="20" t="s">
        <v>35</v>
      </c>
      <c r="V23" s="18" t="s">
        <v>13</v>
      </c>
      <c r="W23" s="14" t="str">
        <f t="shared" si="2"/>
        <v>15 HORAS</v>
      </c>
      <c r="X23" s="14" t="s">
        <v>41</v>
      </c>
      <c r="Y23" s="308">
        <f t="shared" si="3"/>
        <v>373234</v>
      </c>
      <c r="AA23" s="23"/>
      <c r="AB23" s="23"/>
      <c r="AC23" s="23"/>
      <c r="AD23" s="23"/>
      <c r="AE23" s="23"/>
    </row>
    <row r="24" spans="1:31" ht="15.75" x14ac:dyDescent="0.25">
      <c r="A24" s="371" t="s">
        <v>43</v>
      </c>
      <c r="B24" s="371"/>
      <c r="C24" s="371"/>
      <c r="D24" s="371"/>
      <c r="E24" s="371"/>
      <c r="F24" s="371"/>
      <c r="G24" s="371"/>
      <c r="H24" s="2"/>
      <c r="I24" s="65"/>
      <c r="J24" s="14"/>
      <c r="K24" s="16"/>
      <c r="L24" s="54"/>
      <c r="M24" s="22"/>
      <c r="N24" s="13"/>
      <c r="O24" s="14"/>
      <c r="P24" s="66"/>
      <c r="Q24" s="2"/>
      <c r="R24" s="67" t="s">
        <v>44</v>
      </c>
      <c r="S24" s="20" t="s">
        <v>34</v>
      </c>
      <c r="T24" s="16" t="s">
        <v>35</v>
      </c>
      <c r="U24" s="20" t="s">
        <v>35</v>
      </c>
      <c r="V24" s="18" t="s">
        <v>13</v>
      </c>
      <c r="W24" s="14" t="str">
        <f t="shared" si="2"/>
        <v>15 HORAS</v>
      </c>
      <c r="X24" s="14" t="s">
        <v>41</v>
      </c>
      <c r="Y24" s="308">
        <f t="shared" si="3"/>
        <v>373234</v>
      </c>
      <c r="AA24" s="23"/>
      <c r="AB24" s="23"/>
      <c r="AC24" s="23"/>
      <c r="AD24" s="23"/>
      <c r="AE24" s="23"/>
    </row>
    <row r="25" spans="1:31" ht="15.75" x14ac:dyDescent="0.25">
      <c r="A25" s="371" t="s">
        <v>1</v>
      </c>
      <c r="B25" s="371"/>
      <c r="C25" s="371"/>
      <c r="D25" s="371"/>
      <c r="E25" s="371"/>
      <c r="F25" s="371"/>
      <c r="G25" s="371"/>
      <c r="H25" s="2"/>
      <c r="I25" s="34"/>
      <c r="J25" s="68"/>
      <c r="K25" s="16"/>
      <c r="L25" s="35"/>
      <c r="M25" s="35"/>
      <c r="N25" s="14"/>
      <c r="O25" s="14"/>
      <c r="P25" s="69"/>
      <c r="Q25" s="2"/>
      <c r="R25" s="50"/>
      <c r="S25" s="128"/>
      <c r="T25" s="129"/>
      <c r="U25" s="128"/>
      <c r="V25" s="130"/>
      <c r="W25" s="131"/>
      <c r="X25" s="132">
        <v>0</v>
      </c>
      <c r="Y25" s="19">
        <f t="shared" si="3"/>
        <v>0</v>
      </c>
      <c r="AA25" s="23"/>
      <c r="AB25" s="23"/>
      <c r="AC25" s="23"/>
      <c r="AD25" s="23"/>
      <c r="AE25" s="23"/>
    </row>
    <row r="26" spans="1:31" ht="15.75" x14ac:dyDescent="0.2">
      <c r="A26" s="64" t="s">
        <v>4</v>
      </c>
      <c r="B26" s="70" t="s">
        <v>5</v>
      </c>
      <c r="C26" s="70" t="s">
        <v>6</v>
      </c>
      <c r="D26" s="70" t="s">
        <v>7</v>
      </c>
      <c r="E26" s="70" t="s">
        <v>8</v>
      </c>
      <c r="F26" s="70" t="s">
        <v>9</v>
      </c>
      <c r="G26" s="70" t="s">
        <v>10</v>
      </c>
      <c r="H26" s="2"/>
      <c r="I26" s="2"/>
      <c r="J26" s="71" t="s">
        <v>45</v>
      </c>
      <c r="K26" s="72">
        <f>SUM(K4:K15,K18:K25)</f>
        <v>11</v>
      </c>
      <c r="L26" s="72">
        <f>SUM(L4:L25)</f>
        <v>4</v>
      </c>
      <c r="M26" s="71"/>
      <c r="N26" s="71"/>
      <c r="O26" s="71"/>
      <c r="P26" s="73">
        <f>SUM(P4:P25)</f>
        <v>1627647</v>
      </c>
      <c r="Q26" s="2"/>
      <c r="R26" s="133"/>
      <c r="S26" s="128"/>
      <c r="T26" s="129"/>
      <c r="U26" s="128"/>
      <c r="V26" s="130"/>
      <c r="W26" s="132"/>
      <c r="X26" s="132">
        <v>0</v>
      </c>
      <c r="Y26" s="46">
        <f t="shared" si="3"/>
        <v>0</v>
      </c>
      <c r="AA26" s="77"/>
      <c r="AB26" s="77"/>
      <c r="AC26" s="77"/>
      <c r="AD26" s="77"/>
      <c r="AE26" s="78"/>
    </row>
    <row r="27" spans="1:31" ht="15.75" x14ac:dyDescent="0.2">
      <c r="A27" s="79" t="s">
        <v>46</v>
      </c>
      <c r="B27" s="11" t="str">
        <f>+IF(F27=0,0,MID(F27,LEN(F27)-3,1))</f>
        <v>3</v>
      </c>
      <c r="C27" s="12">
        <v>1</v>
      </c>
      <c r="D27" s="12" t="s">
        <v>13</v>
      </c>
      <c r="E27" s="13" t="str">
        <f>+IF(F27=0,0,CONCATENATE(MID(F27,FIND("-",F27,1)+1,4),"ORAS"))</f>
        <v>15 HORAS</v>
      </c>
      <c r="F27" s="14" t="s">
        <v>21</v>
      </c>
      <c r="G27" s="308">
        <f>+IF(F27="","",VLOOKUP(F27,$H$140:I$192,2,FALSE))</f>
        <v>514916</v>
      </c>
      <c r="H27" s="2"/>
      <c r="I27" s="2"/>
      <c r="J27" s="2"/>
      <c r="K27" s="2"/>
      <c r="L27" s="2"/>
      <c r="M27" s="2"/>
      <c r="N27" s="2"/>
      <c r="O27" s="2"/>
      <c r="P27" s="2"/>
      <c r="Q27" s="2"/>
      <c r="R27" s="2"/>
      <c r="S27" s="2"/>
      <c r="T27" s="2"/>
      <c r="U27" s="2"/>
      <c r="V27" s="2"/>
      <c r="W27" s="2"/>
      <c r="X27" s="2"/>
      <c r="Y27" s="2"/>
      <c r="AA27" s="23"/>
      <c r="AB27" s="23"/>
      <c r="AC27" s="23"/>
      <c r="AD27" s="23"/>
      <c r="AE27" s="23"/>
    </row>
    <row r="28" spans="1:31" ht="20.100000000000001" customHeight="1" x14ac:dyDescent="0.2">
      <c r="A28" s="79" t="s">
        <v>47</v>
      </c>
      <c r="B28" s="51" t="str">
        <f>+IF(F28=0,0,MID(F28,LEN(F28)-3,1))</f>
        <v>3</v>
      </c>
      <c r="C28" s="80">
        <v>1</v>
      </c>
      <c r="D28" s="22" t="s">
        <v>13</v>
      </c>
      <c r="E28" s="13" t="str">
        <f>+IF(F28=0,0,CONCATENATE(MID(F28,FIND("-",F28,1)+1,4),"ORAS"))</f>
        <v>15 HORAS</v>
      </c>
      <c r="F28" s="14" t="s">
        <v>21</v>
      </c>
      <c r="G28" s="316">
        <f>+IF(F28="","",VLOOKUP(F28,$H$140:I$192,2,FALSE))</f>
        <v>514916</v>
      </c>
      <c r="H28" s="2"/>
      <c r="I28" s="2"/>
      <c r="J28" s="2"/>
      <c r="K28" s="2"/>
      <c r="L28" s="2"/>
      <c r="M28" s="2"/>
      <c r="N28" s="2"/>
      <c r="O28" s="2"/>
      <c r="P28" s="2"/>
      <c r="Q28" s="2"/>
      <c r="R28" s="2"/>
      <c r="S28" s="2"/>
      <c r="T28" s="2"/>
      <c r="U28" s="2"/>
      <c r="V28" s="2"/>
      <c r="W28" s="2"/>
      <c r="X28" s="2"/>
      <c r="Y28" s="2"/>
    </row>
    <row r="29" spans="1:31" ht="15.75" customHeight="1" x14ac:dyDescent="0.2">
      <c r="A29" s="79" t="s">
        <v>48</v>
      </c>
      <c r="B29" s="51" t="str">
        <f>+IF(F29=0,0,MID(F29,LEN(F29)-3,1))</f>
        <v>3</v>
      </c>
      <c r="C29" s="80">
        <v>1</v>
      </c>
      <c r="D29" s="22" t="s">
        <v>13</v>
      </c>
      <c r="E29" s="13" t="str">
        <f>+IF(F29=0,0,CONCATENATE(MID(F29,FIND("-",F29,1)+1,4),"ORAS"))</f>
        <v>15 HORAS</v>
      </c>
      <c r="F29" s="14" t="s">
        <v>21</v>
      </c>
      <c r="G29" s="308">
        <f>+IF(F29="","",VLOOKUP(F29,$H$140:I$192,2,FALSE))</f>
        <v>514916</v>
      </c>
      <c r="H29" s="2"/>
      <c r="I29" s="2"/>
      <c r="J29" s="2"/>
      <c r="K29" s="2"/>
      <c r="L29" s="2"/>
      <c r="M29" s="2"/>
      <c r="N29" s="2"/>
      <c r="O29" s="2"/>
      <c r="P29" s="2"/>
      <c r="Q29" s="2"/>
      <c r="R29" s="2"/>
      <c r="S29" s="74" t="s">
        <v>45</v>
      </c>
      <c r="T29" s="75">
        <f>T4+T5+T6+T15+T16</f>
        <v>15</v>
      </c>
      <c r="U29" s="75">
        <f>SUM(U4:U7,U22)</f>
        <v>4</v>
      </c>
      <c r="V29" s="2"/>
      <c r="W29" s="2"/>
      <c r="X29" s="2"/>
      <c r="Y29" s="76">
        <f>SUM(Y4:Y26)</f>
        <v>3024912</v>
      </c>
    </row>
    <row r="30" spans="1:31" ht="15.75" x14ac:dyDescent="0.2">
      <c r="A30" s="79" t="s">
        <v>49</v>
      </c>
      <c r="B30" s="51">
        <v>3</v>
      </c>
      <c r="C30" s="80">
        <v>1</v>
      </c>
      <c r="D30" s="22" t="s">
        <v>13</v>
      </c>
      <c r="E30" s="13" t="str">
        <f t="shared" ref="E30" si="4">+IF(F30=0,0,CONCATENATE(MID(F30,FIND("-",F30,1)+1,4),"ORAS"))</f>
        <v>15 HORAS</v>
      </c>
      <c r="F30" s="14" t="s">
        <v>21</v>
      </c>
      <c r="G30" s="308">
        <f>+IF(F30="","",VLOOKUP(F30,$H$140:I$192,2,FALSE))</f>
        <v>514916</v>
      </c>
      <c r="H30" s="2"/>
      <c r="I30" s="2"/>
      <c r="J30" s="2"/>
      <c r="K30" s="2"/>
      <c r="L30" s="2"/>
      <c r="M30" s="2"/>
      <c r="N30" s="2"/>
      <c r="O30" s="2"/>
      <c r="P30" s="2"/>
      <c r="Q30" s="2"/>
      <c r="R30" s="2"/>
      <c r="S30" s="2"/>
      <c r="T30" s="2"/>
      <c r="U30" s="2"/>
      <c r="V30" s="2"/>
      <c r="W30" s="2"/>
      <c r="X30" s="2"/>
      <c r="Y30" s="2"/>
    </row>
    <row r="31" spans="1:31" ht="15.75" x14ac:dyDescent="0.2">
      <c r="A31" s="81"/>
      <c r="B31" s="51"/>
      <c r="C31" s="80"/>
      <c r="D31" s="22"/>
      <c r="E31" s="13"/>
      <c r="F31" s="57"/>
      <c r="G31" s="19"/>
      <c r="H31" s="2"/>
      <c r="I31" s="2"/>
      <c r="J31" s="2"/>
      <c r="K31" s="2"/>
      <c r="L31" s="2"/>
      <c r="M31" s="2"/>
      <c r="N31" s="2"/>
      <c r="O31" s="2"/>
      <c r="P31" s="2"/>
      <c r="Q31" s="2"/>
      <c r="R31" s="2"/>
      <c r="S31" s="2"/>
      <c r="T31" s="2"/>
      <c r="U31" s="2"/>
      <c r="V31" s="2"/>
      <c r="W31" s="2"/>
      <c r="X31" s="2"/>
      <c r="Y31" s="2"/>
    </row>
    <row r="32" spans="1:31" ht="15.75" x14ac:dyDescent="0.2">
      <c r="A32" s="81"/>
      <c r="B32" s="80"/>
      <c r="C32" s="80"/>
      <c r="D32" s="22"/>
      <c r="E32" s="13"/>
      <c r="F32" s="57"/>
      <c r="G32" s="19"/>
      <c r="H32" s="2"/>
      <c r="I32" s="2"/>
      <c r="J32" s="2"/>
      <c r="K32" s="2"/>
      <c r="L32" s="2"/>
      <c r="M32" s="2"/>
      <c r="N32" s="2"/>
      <c r="O32" s="2"/>
      <c r="P32" s="2"/>
      <c r="Q32" s="2"/>
      <c r="R32" s="2"/>
      <c r="S32" s="2"/>
      <c r="T32" s="2"/>
      <c r="U32" s="2"/>
      <c r="V32" s="2"/>
      <c r="W32" s="2"/>
      <c r="X32" s="2"/>
      <c r="Y32" s="2"/>
    </row>
    <row r="33" spans="1:25" ht="15.75" x14ac:dyDescent="0.2">
      <c r="A33" s="372" t="s">
        <v>33</v>
      </c>
      <c r="B33" s="372"/>
      <c r="C33" s="372"/>
      <c r="D33" s="372"/>
      <c r="E33" s="372"/>
      <c r="F33" s="372"/>
      <c r="G33" s="372"/>
      <c r="H33" s="2"/>
      <c r="I33" s="2"/>
      <c r="J33" s="2"/>
      <c r="K33" s="2"/>
      <c r="L33" s="2"/>
      <c r="M33" s="2"/>
      <c r="N33" s="2"/>
      <c r="O33" s="2"/>
      <c r="P33" s="2"/>
      <c r="Q33" s="2"/>
      <c r="R33" s="2"/>
      <c r="S33" s="2"/>
      <c r="T33" s="2"/>
      <c r="U33" s="2"/>
      <c r="V33" s="2"/>
      <c r="W33" s="2"/>
      <c r="X33" s="2"/>
      <c r="Y33" s="2"/>
    </row>
    <row r="34" spans="1:25" ht="15.75" x14ac:dyDescent="0.2">
      <c r="A34" s="64"/>
      <c r="B34" s="70" t="s">
        <v>5</v>
      </c>
      <c r="C34" s="70" t="s">
        <v>6</v>
      </c>
      <c r="D34" s="70" t="s">
        <v>7</v>
      </c>
      <c r="E34" s="70"/>
      <c r="F34" s="70" t="s">
        <v>9</v>
      </c>
      <c r="G34" s="70" t="s">
        <v>10</v>
      </c>
      <c r="H34" s="2"/>
      <c r="I34" s="2"/>
      <c r="J34" s="2"/>
      <c r="K34" s="2"/>
      <c r="L34" s="2"/>
      <c r="M34" s="2"/>
      <c r="N34" s="2"/>
      <c r="O34" s="2"/>
      <c r="P34" s="2"/>
      <c r="Q34" s="2"/>
      <c r="R34" s="2"/>
      <c r="S34" s="2"/>
      <c r="T34" s="2"/>
      <c r="U34" s="2"/>
      <c r="V34" s="2"/>
      <c r="W34" s="2"/>
      <c r="X34" s="2"/>
      <c r="Y34" s="82"/>
    </row>
    <row r="35" spans="1:25" ht="15.75" x14ac:dyDescent="0.25">
      <c r="A35" s="10" t="s">
        <v>50</v>
      </c>
      <c r="B35" s="51" t="str">
        <f>+IF(F35=0,0,MID(F35,LEN(F35)-3,1))</f>
        <v>3</v>
      </c>
      <c r="C35" s="334">
        <v>1</v>
      </c>
      <c r="D35" s="22" t="s">
        <v>13</v>
      </c>
      <c r="E35" s="13" t="str">
        <f>+IF(F35=0,0,CONCATENATE(MID(F35,FIND("-",F35,1)+1,4),"ORAS"))</f>
        <v>15 HORAS</v>
      </c>
      <c r="F35" s="14" t="s">
        <v>17</v>
      </c>
      <c r="G35" s="308">
        <f>+IF(F35="","",VLOOKUP(F35,$H$140:I$192,2,FALSE))</f>
        <v>443323</v>
      </c>
      <c r="H35" s="2"/>
      <c r="I35" s="2"/>
      <c r="J35" s="2"/>
      <c r="K35" s="2"/>
      <c r="L35" s="2"/>
      <c r="M35" s="2"/>
      <c r="N35" s="2"/>
      <c r="O35" s="2"/>
      <c r="P35" s="2"/>
      <c r="Q35" s="2"/>
      <c r="R35" s="2"/>
      <c r="S35" s="2"/>
      <c r="T35" s="2"/>
      <c r="U35" s="2"/>
      <c r="V35" s="2"/>
      <c r="W35" s="2"/>
      <c r="X35" s="2"/>
      <c r="Y35" s="82"/>
    </row>
    <row r="36" spans="1:25" ht="15.75" x14ac:dyDescent="0.25">
      <c r="A36" s="79" t="s">
        <v>51</v>
      </c>
      <c r="B36" s="51" t="str">
        <f>+IF(F36=0,0,MID(F36,LEN(F36)-3,1))</f>
        <v>3</v>
      </c>
      <c r="C36" s="334">
        <v>1</v>
      </c>
      <c r="D36" s="22" t="s">
        <v>13</v>
      </c>
      <c r="E36" s="13" t="str">
        <f>+IF(F36=0,0,CONCATENATE(MID(F36,FIND("-",F36,1)+1,4),"ORAS"))</f>
        <v>15 HORAS</v>
      </c>
      <c r="F36" s="14" t="s">
        <v>17</v>
      </c>
      <c r="G36" s="308">
        <f>+IF(F36="","",VLOOKUP(F36,$H$140:I$192,2,FALSE))</f>
        <v>443323</v>
      </c>
      <c r="H36" s="2"/>
      <c r="I36" s="2"/>
      <c r="J36" s="2"/>
      <c r="K36" s="2"/>
      <c r="L36" s="2"/>
      <c r="M36" s="2"/>
      <c r="N36" s="2"/>
      <c r="O36" s="2"/>
      <c r="P36" s="2"/>
      <c r="Q36" s="2"/>
      <c r="R36" s="2"/>
      <c r="S36" s="2"/>
      <c r="T36" s="2"/>
      <c r="U36" s="2"/>
      <c r="V36" s="2"/>
      <c r="W36" s="2"/>
      <c r="X36" s="2"/>
      <c r="Y36" s="2"/>
    </row>
    <row r="37" spans="1:25" ht="15.75" x14ac:dyDescent="0.25">
      <c r="A37" s="79" t="s">
        <v>52</v>
      </c>
      <c r="B37" s="51" t="str">
        <f>+IF(F37=0,0,MID(F37,LEN(F37)-3,1))</f>
        <v>3</v>
      </c>
      <c r="C37" s="334">
        <v>1</v>
      </c>
      <c r="D37" s="22" t="s">
        <v>13</v>
      </c>
      <c r="E37" s="13" t="str">
        <f>+IF(F37=0,0,CONCATENATE(MID(F37,FIND("-",F37,1)+1,4),"ORAS"))</f>
        <v>15 HORAS</v>
      </c>
      <c r="F37" s="14" t="s">
        <v>17</v>
      </c>
      <c r="G37" s="308">
        <f>+IF(F37="","",VLOOKUP(F37,$H$140:I$192,2,FALSE))</f>
        <v>443323</v>
      </c>
      <c r="H37" s="2"/>
      <c r="I37" s="2"/>
      <c r="J37" s="2"/>
      <c r="K37" s="2"/>
      <c r="L37" s="2"/>
      <c r="M37" s="2"/>
      <c r="N37" s="2"/>
      <c r="O37" s="2"/>
      <c r="P37" s="2"/>
      <c r="Q37" s="2"/>
      <c r="R37" s="2"/>
      <c r="S37" s="2"/>
      <c r="T37" s="2"/>
      <c r="U37" s="2"/>
      <c r="V37" s="2"/>
      <c r="W37" s="2"/>
      <c r="X37" s="2"/>
      <c r="Y37" s="2"/>
    </row>
    <row r="38" spans="1:25" ht="15.75" x14ac:dyDescent="0.25">
      <c r="A38" s="34" t="s">
        <v>53</v>
      </c>
      <c r="B38" s="51" t="str">
        <f>+IF(F38=0,0,MID(F38,LEN(F38)-3,1))</f>
        <v>3</v>
      </c>
      <c r="C38" s="334">
        <v>1</v>
      </c>
      <c r="D38" s="22" t="s">
        <v>13</v>
      </c>
      <c r="E38" s="13" t="str">
        <f>+IF(F38=0,0,CONCATENATE(MID(F38,FIND("-",F38,1)+1,4),"ORAS"))</f>
        <v>15 HORAS</v>
      </c>
      <c r="F38" s="14" t="s">
        <v>17</v>
      </c>
      <c r="G38" s="308">
        <f>+IF(F38="","",VLOOKUP(F38,$H$140:I$192,2,FALSE))</f>
        <v>443323</v>
      </c>
      <c r="H38" s="2"/>
      <c r="I38" s="2"/>
      <c r="J38" s="2"/>
      <c r="K38" s="2"/>
      <c r="L38" s="2"/>
      <c r="M38" s="2"/>
      <c r="N38" s="2"/>
      <c r="O38" s="2"/>
      <c r="P38" s="2"/>
      <c r="Q38" s="2"/>
      <c r="R38" s="2"/>
      <c r="S38" s="2"/>
      <c r="T38" s="2"/>
      <c r="U38" s="2"/>
      <c r="V38" s="2"/>
      <c r="W38" s="2"/>
      <c r="X38" s="2"/>
      <c r="Y38" s="2"/>
    </row>
    <row r="39" spans="1:25" ht="15.75" x14ac:dyDescent="0.25">
      <c r="A39" s="84"/>
      <c r="B39" s="51"/>
      <c r="C39" s="334"/>
      <c r="D39" s="22"/>
      <c r="E39" s="13">
        <f>+IF(F39=0,0,CONCATENATE(MID(F39,FIND("-",F39,1)+1,4),"ORAS"))</f>
        <v>0</v>
      </c>
      <c r="F39" s="14">
        <v>0</v>
      </c>
      <c r="G39" s="19">
        <f>+IF(F39="","",VLOOKUP(F39,$H$140:I$192,2,FALSE))</f>
        <v>0</v>
      </c>
      <c r="H39" s="2"/>
      <c r="I39" s="2"/>
      <c r="J39" s="2"/>
      <c r="K39" s="2"/>
      <c r="L39" s="2"/>
      <c r="M39" s="2"/>
      <c r="N39" s="2"/>
      <c r="O39" s="2"/>
      <c r="P39" s="2"/>
      <c r="Q39" s="2"/>
      <c r="R39" s="2"/>
      <c r="S39" s="2"/>
      <c r="T39" s="2"/>
      <c r="U39" s="2"/>
      <c r="V39" s="2"/>
      <c r="W39" s="2"/>
      <c r="X39" s="2"/>
      <c r="Y39" s="2"/>
    </row>
    <row r="40" spans="1:25" ht="15.75" x14ac:dyDescent="0.2">
      <c r="A40" s="85"/>
      <c r="B40" s="16"/>
      <c r="C40" s="86"/>
      <c r="D40" s="43"/>
      <c r="E40" s="13"/>
      <c r="F40" s="57"/>
      <c r="G40" s="19"/>
      <c r="H40" s="2"/>
      <c r="I40" s="2"/>
      <c r="J40" s="2"/>
      <c r="K40" s="2"/>
      <c r="L40" s="2"/>
      <c r="M40" s="2"/>
      <c r="N40" s="2"/>
      <c r="O40" s="2"/>
      <c r="P40" s="2"/>
      <c r="Q40" s="2"/>
      <c r="R40" s="2"/>
      <c r="S40" s="2"/>
      <c r="T40" s="2"/>
      <c r="U40" s="2"/>
      <c r="V40" s="2"/>
      <c r="W40" s="2"/>
      <c r="X40" s="2"/>
      <c r="Y40" s="2"/>
    </row>
    <row r="41" spans="1:25" ht="15.75" x14ac:dyDescent="0.2">
      <c r="A41" s="60" t="s">
        <v>42</v>
      </c>
      <c r="B41" s="61">
        <f>+B27+B28+B29+B35+B36+B37+B38+B39+B30</f>
        <v>24</v>
      </c>
      <c r="C41" s="62">
        <f>SUM(C27:C32)+C35+C36+C37+C38+C39+C40</f>
        <v>8</v>
      </c>
      <c r="D41" s="62"/>
      <c r="E41" s="13">
        <f>+IF(F41=0,0,CONCATENATE(MID(F41,FIND("-",F41,1)+1,3),"ORAS"))</f>
        <v>0</v>
      </c>
      <c r="F41" s="62"/>
      <c r="G41" s="44">
        <f>SUM(G27:G32,G35:G40)</f>
        <v>3832956</v>
      </c>
      <c r="H41" s="2"/>
      <c r="I41" s="2"/>
      <c r="J41" s="2"/>
      <c r="K41" s="2"/>
      <c r="L41" s="2"/>
      <c r="M41" s="2"/>
      <c r="N41" s="2"/>
      <c r="O41" s="2"/>
      <c r="P41" s="2"/>
      <c r="Q41" s="2"/>
      <c r="R41" s="2"/>
      <c r="S41" s="2"/>
      <c r="T41" s="2"/>
      <c r="U41" s="2"/>
      <c r="V41" s="2"/>
      <c r="W41" s="2"/>
      <c r="X41" s="2"/>
      <c r="Y41" s="2"/>
    </row>
    <row r="42" spans="1:25" ht="15.75" x14ac:dyDescent="0.2">
      <c r="A42" s="373" t="s">
        <v>54</v>
      </c>
      <c r="B42" s="373"/>
      <c r="C42" s="373"/>
      <c r="D42" s="373"/>
      <c r="E42" s="373"/>
      <c r="F42" s="373"/>
      <c r="G42" s="373"/>
      <c r="H42" s="2"/>
      <c r="I42" s="2"/>
      <c r="J42" s="2"/>
      <c r="K42" s="2"/>
      <c r="L42" s="2"/>
      <c r="M42" s="2"/>
      <c r="N42" s="2"/>
      <c r="O42" s="2"/>
      <c r="P42" s="2"/>
      <c r="Q42" s="2"/>
      <c r="R42" s="2"/>
      <c r="S42" s="2"/>
      <c r="T42" s="2"/>
      <c r="U42" s="2"/>
      <c r="V42" s="2"/>
      <c r="W42" s="2"/>
      <c r="X42" s="2"/>
      <c r="Y42" s="2"/>
    </row>
    <row r="43" spans="1:25" ht="15.75" x14ac:dyDescent="0.2">
      <c r="A43" s="373" t="s">
        <v>1</v>
      </c>
      <c r="B43" s="373"/>
      <c r="C43" s="373"/>
      <c r="D43" s="373"/>
      <c r="E43" s="373"/>
      <c r="F43" s="373"/>
      <c r="G43" s="373"/>
      <c r="H43" s="2"/>
      <c r="I43" s="2"/>
      <c r="J43" s="2"/>
      <c r="K43" s="2"/>
      <c r="L43" s="2"/>
      <c r="M43" s="2"/>
      <c r="N43" s="2"/>
      <c r="O43" s="2"/>
      <c r="P43" s="2"/>
      <c r="Q43" s="2"/>
      <c r="R43" s="2"/>
      <c r="S43" s="2"/>
      <c r="T43" s="2"/>
      <c r="U43" s="2"/>
      <c r="V43" s="2"/>
      <c r="W43" s="2"/>
      <c r="X43" s="2"/>
      <c r="Y43" s="2"/>
    </row>
    <row r="44" spans="1:25" ht="15.75" x14ac:dyDescent="0.2">
      <c r="A44" s="87" t="s">
        <v>4</v>
      </c>
      <c r="B44" s="88" t="s">
        <v>5</v>
      </c>
      <c r="C44" s="88" t="s">
        <v>6</v>
      </c>
      <c r="D44" s="88" t="s">
        <v>7</v>
      </c>
      <c r="E44" s="88" t="s">
        <v>8</v>
      </c>
      <c r="F44" s="88" t="s">
        <v>9</v>
      </c>
      <c r="G44" s="88" t="s">
        <v>10</v>
      </c>
      <c r="H44" s="2"/>
      <c r="I44" s="2"/>
      <c r="J44" s="2"/>
      <c r="K44" s="2"/>
      <c r="L44" s="2"/>
      <c r="M44" s="2"/>
      <c r="N44" s="2"/>
      <c r="O44" s="2"/>
      <c r="P44" s="2"/>
      <c r="Q44" s="2"/>
      <c r="R44" s="2"/>
      <c r="S44" s="2"/>
      <c r="T44" s="2"/>
      <c r="U44" s="2"/>
      <c r="V44" s="2"/>
      <c r="W44" s="2"/>
      <c r="X44" s="2"/>
      <c r="Y44" s="2"/>
    </row>
    <row r="45" spans="1:25" ht="15.75" x14ac:dyDescent="0.2">
      <c r="A45" s="89"/>
      <c r="B45" s="90"/>
      <c r="C45" s="90"/>
      <c r="D45" s="91"/>
      <c r="E45" s="91"/>
      <c r="F45" s="91"/>
      <c r="G45" s="92"/>
      <c r="H45" s="2"/>
      <c r="I45" s="2"/>
      <c r="J45" s="2"/>
      <c r="K45" s="2"/>
      <c r="L45" s="2"/>
      <c r="M45" s="2"/>
      <c r="N45" s="2"/>
      <c r="O45" s="2"/>
      <c r="P45" s="2"/>
      <c r="Q45" s="2"/>
      <c r="R45" s="2"/>
      <c r="S45" s="2"/>
      <c r="T45" s="2"/>
      <c r="U45" s="2"/>
      <c r="V45" s="2"/>
      <c r="W45" s="2"/>
      <c r="X45" s="2"/>
      <c r="Y45" s="2"/>
    </row>
    <row r="46" spans="1:25" ht="1.5" customHeight="1" x14ac:dyDescent="0.2">
      <c r="A46" s="89"/>
      <c r="B46" s="90"/>
      <c r="C46" s="90"/>
      <c r="D46" s="90"/>
      <c r="E46" s="90"/>
      <c r="F46" s="90"/>
      <c r="G46" s="90"/>
      <c r="H46" s="2"/>
      <c r="I46" s="2"/>
      <c r="J46" s="2"/>
      <c r="K46" s="2"/>
      <c r="L46" s="2"/>
      <c r="M46" s="2"/>
      <c r="N46" s="2"/>
      <c r="O46" s="2"/>
      <c r="P46" s="2"/>
      <c r="Q46" s="2"/>
      <c r="R46" s="2"/>
      <c r="S46" s="2"/>
      <c r="T46" s="2"/>
      <c r="U46" s="2"/>
      <c r="V46" s="2"/>
      <c r="W46" s="2"/>
      <c r="X46" s="2"/>
      <c r="Y46" s="2"/>
    </row>
    <row r="47" spans="1:25" ht="15.75" x14ac:dyDescent="0.25">
      <c r="A47" s="53"/>
      <c r="B47" s="16"/>
      <c r="C47" s="334"/>
      <c r="D47" s="22"/>
      <c r="E47" s="13"/>
      <c r="F47" s="57"/>
      <c r="G47" s="57"/>
      <c r="H47" s="2"/>
      <c r="I47" s="2"/>
      <c r="J47" s="374"/>
      <c r="K47" s="374"/>
      <c r="L47" s="374"/>
      <c r="M47" s="374"/>
      <c r="N47" s="374"/>
      <c r="O47" s="374"/>
      <c r="P47" s="374"/>
      <c r="Q47" s="2"/>
      <c r="R47" s="2"/>
      <c r="S47" s="2"/>
      <c r="T47" s="2"/>
      <c r="U47" s="2"/>
      <c r="V47" s="2"/>
      <c r="W47" s="2"/>
      <c r="X47" s="2"/>
      <c r="Y47" s="2"/>
    </row>
    <row r="48" spans="1:25" ht="15.75" x14ac:dyDescent="0.2">
      <c r="A48" s="93"/>
      <c r="B48" s="16"/>
      <c r="C48" s="57"/>
      <c r="D48" s="57"/>
      <c r="E48" s="13"/>
      <c r="F48" s="57"/>
      <c r="G48" s="57"/>
      <c r="H48" s="2"/>
      <c r="I48" s="2"/>
      <c r="J48" s="374"/>
      <c r="K48" s="374"/>
      <c r="L48" s="374"/>
      <c r="M48" s="374"/>
      <c r="N48" s="374"/>
      <c r="O48" s="374"/>
      <c r="P48" s="374"/>
      <c r="Q48" s="2"/>
      <c r="R48" s="2"/>
      <c r="S48" s="2"/>
      <c r="T48" s="2"/>
      <c r="U48" s="2"/>
      <c r="V48" s="2"/>
      <c r="W48" s="2"/>
      <c r="X48" s="2"/>
      <c r="Y48" s="2"/>
    </row>
    <row r="49" spans="1:25" ht="15.75" x14ac:dyDescent="0.2">
      <c r="A49" s="93"/>
      <c r="B49" s="16"/>
      <c r="C49" s="57"/>
      <c r="D49" s="57"/>
      <c r="E49" s="13"/>
      <c r="F49" s="57"/>
      <c r="G49" s="57"/>
      <c r="H49" s="2"/>
      <c r="I49" s="2"/>
      <c r="J49" s="374"/>
      <c r="K49" s="374"/>
      <c r="L49" s="374"/>
      <c r="M49" s="374"/>
      <c r="N49" s="374"/>
      <c r="O49" s="374"/>
      <c r="P49" s="374"/>
      <c r="Q49" s="2"/>
      <c r="R49" s="2"/>
      <c r="S49" s="2"/>
      <c r="T49" s="2"/>
      <c r="U49" s="2"/>
      <c r="V49" s="2"/>
      <c r="W49" s="2"/>
      <c r="X49" s="2"/>
      <c r="Y49" s="2"/>
    </row>
    <row r="50" spans="1:25" ht="15.75" x14ac:dyDescent="0.2">
      <c r="A50" s="93"/>
      <c r="B50" s="16"/>
      <c r="C50" s="57"/>
      <c r="D50" s="57"/>
      <c r="E50" s="13"/>
      <c r="F50" s="57"/>
      <c r="G50" s="57"/>
      <c r="H50" s="2"/>
      <c r="I50" s="2"/>
      <c r="J50" s="374"/>
      <c r="K50" s="374"/>
      <c r="L50" s="374"/>
      <c r="M50" s="374"/>
      <c r="N50" s="374"/>
      <c r="O50" s="374"/>
      <c r="P50" s="374"/>
      <c r="Q50" s="2"/>
      <c r="R50" s="2"/>
      <c r="S50" s="2"/>
      <c r="T50" s="2"/>
      <c r="U50" s="2"/>
      <c r="V50" s="2"/>
      <c r="W50" s="2"/>
      <c r="X50" s="2"/>
      <c r="Y50" s="2"/>
    </row>
    <row r="51" spans="1:25" ht="15.75" x14ac:dyDescent="0.2">
      <c r="A51" s="93"/>
      <c r="B51" s="57"/>
      <c r="C51" s="57"/>
      <c r="D51" s="57"/>
      <c r="E51" s="13"/>
      <c r="F51" s="57"/>
      <c r="G51" s="57"/>
      <c r="H51" s="2"/>
      <c r="I51" s="2"/>
      <c r="J51" s="374"/>
      <c r="K51" s="374"/>
      <c r="L51" s="374"/>
      <c r="M51" s="374"/>
      <c r="N51" s="374"/>
      <c r="O51" s="374"/>
      <c r="P51" s="374"/>
      <c r="Q51" s="2"/>
      <c r="R51" s="2"/>
      <c r="S51" s="2"/>
      <c r="T51" s="2"/>
      <c r="U51" s="2"/>
      <c r="V51" s="2"/>
      <c r="W51" s="2"/>
      <c r="X51" s="2"/>
      <c r="Y51" s="2"/>
    </row>
    <row r="52" spans="1:25" ht="15.75" x14ac:dyDescent="0.2">
      <c r="A52" s="93"/>
      <c r="B52" s="57"/>
      <c r="C52" s="57"/>
      <c r="D52" s="57"/>
      <c r="E52" s="13"/>
      <c r="F52" s="57"/>
      <c r="G52" s="57"/>
      <c r="H52" s="2"/>
      <c r="I52" s="2"/>
      <c r="J52" s="374"/>
      <c r="K52" s="374"/>
      <c r="L52" s="374"/>
      <c r="M52" s="374"/>
      <c r="N52" s="374"/>
      <c r="O52" s="374"/>
      <c r="P52" s="374"/>
      <c r="Q52" s="2"/>
      <c r="R52" s="2"/>
      <c r="S52" s="2"/>
      <c r="T52" s="2"/>
      <c r="U52" s="2"/>
      <c r="V52" s="2"/>
      <c r="W52" s="2"/>
      <c r="X52" s="2"/>
      <c r="Y52" s="2"/>
    </row>
    <row r="53" spans="1:25" ht="15.75" x14ac:dyDescent="0.2">
      <c r="A53" s="376" t="s">
        <v>33</v>
      </c>
      <c r="B53" s="376"/>
      <c r="C53" s="376"/>
      <c r="D53" s="376"/>
      <c r="E53" s="376"/>
      <c r="F53" s="376"/>
      <c r="G53" s="376"/>
      <c r="H53" s="2"/>
      <c r="I53" s="2"/>
      <c r="J53" s="374"/>
      <c r="K53" s="374"/>
      <c r="L53" s="374"/>
      <c r="M53" s="374"/>
      <c r="N53" s="374"/>
      <c r="O53" s="374"/>
      <c r="P53" s="374"/>
      <c r="Q53" s="2"/>
      <c r="R53" s="2"/>
      <c r="S53" s="2"/>
      <c r="T53" s="2"/>
      <c r="U53" s="2"/>
      <c r="V53" s="2"/>
      <c r="W53" s="2"/>
      <c r="X53" s="2"/>
      <c r="Y53" s="2"/>
    </row>
    <row r="54" spans="1:25" ht="15.75" x14ac:dyDescent="0.2">
      <c r="A54" s="87" t="s">
        <v>4</v>
      </c>
      <c r="B54" s="88" t="s">
        <v>5</v>
      </c>
      <c r="C54" s="88" t="s">
        <v>6</v>
      </c>
      <c r="D54" s="88" t="s">
        <v>7</v>
      </c>
      <c r="E54" s="88" t="s">
        <v>8</v>
      </c>
      <c r="F54" s="88" t="s">
        <v>9</v>
      </c>
      <c r="G54" s="88" t="s">
        <v>10</v>
      </c>
      <c r="H54" s="2"/>
      <c r="I54" s="2"/>
      <c r="J54" s="374"/>
      <c r="K54" s="374"/>
      <c r="L54" s="374"/>
      <c r="M54" s="374"/>
      <c r="N54" s="374"/>
      <c r="O54" s="374"/>
      <c r="P54" s="374"/>
      <c r="Q54" s="2"/>
      <c r="R54" s="2"/>
      <c r="S54" s="2"/>
      <c r="T54" s="2"/>
      <c r="U54" s="2"/>
      <c r="V54" s="2"/>
      <c r="W54" s="2"/>
      <c r="X54" s="2"/>
      <c r="Y54" s="2"/>
    </row>
    <row r="55" spans="1:25" ht="15.75" x14ac:dyDescent="0.25">
      <c r="A55" s="53" t="s">
        <v>55</v>
      </c>
      <c r="B55" s="94" t="str">
        <f t="shared" ref="B55:B64" si="5">+IF(F55=0,0,MID(F55,LEN(F55)-3,1))</f>
        <v>3</v>
      </c>
      <c r="C55" s="334">
        <v>1</v>
      </c>
      <c r="D55" s="22" t="s">
        <v>13</v>
      </c>
      <c r="E55" s="13" t="str">
        <f t="shared" ref="E55:E64" si="6">+IF(F55=0,0,CONCATENATE(MID(F55,FIND("-",F55,1)+1,4),"ORAS"))</f>
        <v>15 HORAS</v>
      </c>
      <c r="F55" s="14" t="s">
        <v>17</v>
      </c>
      <c r="G55" s="308">
        <f>+IF(F55="","",VLOOKUP(F55,$H$140:I$192,2,FALSE))</f>
        <v>443323</v>
      </c>
      <c r="H55" s="2"/>
      <c r="I55" s="2"/>
      <c r="J55" s="374"/>
      <c r="K55" s="374"/>
      <c r="L55" s="374"/>
      <c r="M55" s="374"/>
      <c r="N55" s="374"/>
      <c r="O55" s="374"/>
      <c r="P55" s="374"/>
      <c r="Q55" s="2"/>
      <c r="R55" s="2"/>
      <c r="S55" s="2"/>
      <c r="T55" s="2"/>
      <c r="U55" s="2"/>
      <c r="V55" s="2"/>
      <c r="W55" s="2"/>
      <c r="X55" s="2"/>
      <c r="Y55" s="2"/>
    </row>
    <row r="56" spans="1:25" ht="15.75" x14ac:dyDescent="0.25">
      <c r="A56" s="53" t="s">
        <v>56</v>
      </c>
      <c r="B56" s="94" t="str">
        <f t="shared" si="5"/>
        <v>3</v>
      </c>
      <c r="C56" s="334">
        <v>1</v>
      </c>
      <c r="D56" s="22" t="s">
        <v>13</v>
      </c>
      <c r="E56" s="13" t="str">
        <f t="shared" si="6"/>
        <v>15 HORAS</v>
      </c>
      <c r="F56" s="14" t="s">
        <v>17</v>
      </c>
      <c r="G56" s="308">
        <f>+IF(F56="","",VLOOKUP(F56,$H$140:I$192,2,FALSE))</f>
        <v>443323</v>
      </c>
      <c r="H56" s="2"/>
      <c r="I56" s="2"/>
      <c r="J56" s="374"/>
      <c r="K56" s="374"/>
      <c r="L56" s="374"/>
      <c r="M56" s="374"/>
      <c r="N56" s="374"/>
      <c r="O56" s="374"/>
      <c r="P56" s="374"/>
      <c r="Q56" s="2"/>
      <c r="R56" s="2"/>
      <c r="S56" s="2"/>
      <c r="T56" s="2"/>
      <c r="U56" s="2"/>
      <c r="V56" s="2"/>
      <c r="W56" s="2"/>
      <c r="X56" s="2"/>
      <c r="Y56" s="2"/>
    </row>
    <row r="57" spans="1:25" ht="15.75" x14ac:dyDescent="0.25">
      <c r="A57" s="53" t="s">
        <v>57</v>
      </c>
      <c r="B57" s="94" t="str">
        <f t="shared" si="5"/>
        <v>3</v>
      </c>
      <c r="C57" s="334">
        <v>1</v>
      </c>
      <c r="D57" s="22" t="s">
        <v>13</v>
      </c>
      <c r="E57" s="13" t="str">
        <f t="shared" si="6"/>
        <v>15 HORAS</v>
      </c>
      <c r="F57" s="14" t="s">
        <v>17</v>
      </c>
      <c r="G57" s="308">
        <f>+IF(F57="","",VLOOKUP(F57,$H$140:I$192,2,FALSE))</f>
        <v>443323</v>
      </c>
      <c r="H57" s="2"/>
      <c r="I57" s="2"/>
      <c r="J57" s="374"/>
      <c r="K57" s="374"/>
      <c r="L57" s="374"/>
      <c r="M57" s="374"/>
      <c r="N57" s="374"/>
      <c r="O57" s="374"/>
      <c r="P57" s="374"/>
      <c r="Q57" s="2"/>
      <c r="R57" s="2"/>
      <c r="S57" s="2"/>
      <c r="T57" s="2"/>
      <c r="U57" s="2"/>
      <c r="V57" s="2"/>
      <c r="W57" s="2"/>
      <c r="X57" s="2"/>
      <c r="Y57" s="2"/>
    </row>
    <row r="58" spans="1:25" ht="15.75" x14ac:dyDescent="0.25">
      <c r="A58" s="53" t="s">
        <v>253</v>
      </c>
      <c r="B58" s="94" t="str">
        <f t="shared" si="5"/>
        <v>3</v>
      </c>
      <c r="C58" s="334">
        <v>1</v>
      </c>
      <c r="D58" s="22" t="s">
        <v>13</v>
      </c>
      <c r="E58" s="13" t="str">
        <f t="shared" si="6"/>
        <v>15 HORAS</v>
      </c>
      <c r="F58" s="14" t="s">
        <v>17</v>
      </c>
      <c r="G58" s="308">
        <f>+IF(F58="","",VLOOKUP(F58,$H$140:I$192,2,FALSE))</f>
        <v>443323</v>
      </c>
      <c r="H58" s="2"/>
      <c r="I58" s="2"/>
      <c r="J58" s="374"/>
      <c r="K58" s="374"/>
      <c r="L58" s="374"/>
      <c r="M58" s="374"/>
      <c r="N58" s="374"/>
      <c r="O58" s="374"/>
      <c r="P58" s="374"/>
      <c r="Q58" s="2"/>
      <c r="R58" s="2"/>
      <c r="S58" s="2"/>
      <c r="T58" s="2"/>
      <c r="U58" s="2"/>
      <c r="V58" s="2"/>
      <c r="W58" s="2"/>
      <c r="X58" s="2"/>
      <c r="Y58" s="2"/>
    </row>
    <row r="59" spans="1:25" ht="15.75" x14ac:dyDescent="0.25">
      <c r="A59" s="96" t="s">
        <v>254</v>
      </c>
      <c r="B59" s="94" t="str">
        <f t="shared" si="5"/>
        <v>3</v>
      </c>
      <c r="C59" s="334">
        <v>1</v>
      </c>
      <c r="D59" s="22" t="s">
        <v>13</v>
      </c>
      <c r="E59" s="13" t="str">
        <f t="shared" si="6"/>
        <v>15 HORAS</v>
      </c>
      <c r="F59" s="14" t="s">
        <v>17</v>
      </c>
      <c r="G59" s="308">
        <f>+IF(F59="","",VLOOKUP(F59,$H$140:I$192,2,FALSE))</f>
        <v>443323</v>
      </c>
      <c r="H59" s="2"/>
      <c r="I59" s="2"/>
      <c r="J59" s="374"/>
      <c r="K59" s="374"/>
      <c r="L59" s="374"/>
      <c r="M59" s="374"/>
      <c r="N59" s="374"/>
      <c r="O59" s="374"/>
      <c r="P59" s="374"/>
      <c r="Q59" s="2"/>
      <c r="R59" s="2"/>
      <c r="S59" s="2"/>
      <c r="T59" s="2"/>
      <c r="U59" s="2"/>
      <c r="V59" s="2"/>
      <c r="W59" s="2"/>
      <c r="X59" s="2"/>
      <c r="Y59" s="2"/>
    </row>
    <row r="60" spans="1:25" ht="15.75" x14ac:dyDescent="0.25">
      <c r="A60" s="96" t="s">
        <v>255</v>
      </c>
      <c r="B60" s="94" t="str">
        <f t="shared" si="5"/>
        <v>3</v>
      </c>
      <c r="C60" s="334">
        <v>1</v>
      </c>
      <c r="D60" s="22" t="s">
        <v>13</v>
      </c>
      <c r="E60" s="13" t="str">
        <f t="shared" si="6"/>
        <v>15 HORAS</v>
      </c>
      <c r="F60" s="14" t="s">
        <v>17</v>
      </c>
      <c r="G60" s="308">
        <f>+IF(F60="","",VLOOKUP(F60,$H$140:I$192,2,FALSE))</f>
        <v>443323</v>
      </c>
      <c r="H60" s="2"/>
      <c r="I60" s="2"/>
      <c r="J60" s="374"/>
      <c r="K60" s="374"/>
      <c r="L60" s="374"/>
      <c r="M60" s="374"/>
      <c r="N60" s="374"/>
      <c r="O60" s="374"/>
      <c r="P60" s="374"/>
      <c r="Q60" s="2"/>
      <c r="R60" s="2"/>
      <c r="S60" s="2"/>
      <c r="T60" s="2"/>
      <c r="U60" s="2"/>
      <c r="V60" s="2"/>
      <c r="W60" s="2"/>
      <c r="X60" s="2"/>
      <c r="Y60" s="2"/>
    </row>
    <row r="61" spans="1:25" ht="15.75" x14ac:dyDescent="0.25">
      <c r="A61" s="96" t="s">
        <v>256</v>
      </c>
      <c r="B61" s="94" t="str">
        <f t="shared" si="5"/>
        <v>3</v>
      </c>
      <c r="C61" s="334">
        <v>1</v>
      </c>
      <c r="D61" s="22" t="s">
        <v>13</v>
      </c>
      <c r="E61" s="13" t="str">
        <f t="shared" si="6"/>
        <v>15 HORAS</v>
      </c>
      <c r="F61" s="14" t="s">
        <v>17</v>
      </c>
      <c r="G61" s="308">
        <f>+IF(F61="","",VLOOKUP(F61,$H$140:I$192,2,FALSE))</f>
        <v>443323</v>
      </c>
      <c r="H61" s="2"/>
      <c r="I61" s="2"/>
      <c r="J61" s="374"/>
      <c r="K61" s="374"/>
      <c r="L61" s="374"/>
      <c r="M61" s="374"/>
      <c r="N61" s="374"/>
      <c r="O61" s="374"/>
      <c r="P61" s="374"/>
      <c r="Q61" s="2"/>
      <c r="R61" s="2"/>
      <c r="S61" s="2"/>
      <c r="T61" s="2"/>
      <c r="U61" s="2"/>
      <c r="V61" s="2"/>
      <c r="W61" s="2"/>
      <c r="X61" s="2"/>
      <c r="Y61" s="2"/>
    </row>
    <row r="62" spans="1:25" ht="15.75" x14ac:dyDescent="0.25">
      <c r="A62" s="96" t="s">
        <v>257</v>
      </c>
      <c r="B62" s="94" t="str">
        <f t="shared" si="5"/>
        <v>3</v>
      </c>
      <c r="C62" s="334">
        <v>1</v>
      </c>
      <c r="D62" s="22" t="s">
        <v>13</v>
      </c>
      <c r="E62" s="13" t="str">
        <f t="shared" si="6"/>
        <v>15 HORAS</v>
      </c>
      <c r="F62" s="14" t="s">
        <v>17</v>
      </c>
      <c r="G62" s="308">
        <f>+IF(F62="","",VLOOKUP(F62,$H$140:I$192,2,FALSE))</f>
        <v>443323</v>
      </c>
      <c r="H62" s="2"/>
      <c r="I62" s="2"/>
      <c r="J62" s="374"/>
      <c r="K62" s="374"/>
      <c r="L62" s="374"/>
      <c r="M62" s="374"/>
      <c r="N62" s="374"/>
      <c r="O62" s="374"/>
      <c r="P62" s="374"/>
      <c r="Q62" s="2"/>
      <c r="R62" s="2"/>
      <c r="S62" s="2"/>
      <c r="T62" s="2"/>
      <c r="U62" s="2"/>
      <c r="V62" s="2"/>
      <c r="W62" s="2"/>
      <c r="X62" s="2"/>
      <c r="Y62" s="2"/>
    </row>
    <row r="63" spans="1:25" ht="15.75" x14ac:dyDescent="0.25">
      <c r="A63" s="95" t="s">
        <v>58</v>
      </c>
      <c r="B63" s="94" t="str">
        <f t="shared" si="5"/>
        <v>3</v>
      </c>
      <c r="C63" s="334">
        <v>1</v>
      </c>
      <c r="D63" s="22" t="s">
        <v>13</v>
      </c>
      <c r="E63" s="13" t="str">
        <f t="shared" si="6"/>
        <v>15 HORAS</v>
      </c>
      <c r="F63" s="14" t="s">
        <v>17</v>
      </c>
      <c r="G63" s="308">
        <f>+IF(F63="","",VLOOKUP(F63,$H$140:I$192,2,FALSE))</f>
        <v>443323</v>
      </c>
      <c r="H63" s="2"/>
      <c r="I63" s="2"/>
      <c r="J63" s="374"/>
      <c r="K63" s="374"/>
      <c r="L63" s="374"/>
      <c r="M63" s="374"/>
      <c r="N63" s="374"/>
      <c r="O63" s="374"/>
      <c r="P63" s="374"/>
      <c r="Q63" s="2"/>
      <c r="R63" s="2"/>
      <c r="S63" s="2"/>
      <c r="T63" s="2"/>
      <c r="U63" s="2"/>
      <c r="V63" s="2"/>
      <c r="W63" s="2"/>
      <c r="X63" s="2"/>
      <c r="Y63" s="2"/>
    </row>
    <row r="64" spans="1:25" ht="15.75" x14ac:dyDescent="0.25">
      <c r="A64" s="95" t="s">
        <v>59</v>
      </c>
      <c r="B64" s="94" t="str">
        <f t="shared" si="5"/>
        <v>3</v>
      </c>
      <c r="C64" s="334">
        <v>1</v>
      </c>
      <c r="D64" s="22" t="s">
        <v>13</v>
      </c>
      <c r="E64" s="13" t="str">
        <f t="shared" si="6"/>
        <v>15 HORAS</v>
      </c>
      <c r="F64" s="14" t="s">
        <v>17</v>
      </c>
      <c r="G64" s="308">
        <f>+IF(F64="","",VLOOKUP(F64,$H$140:I$192,2,FALSE))</f>
        <v>443323</v>
      </c>
      <c r="H64" s="2"/>
      <c r="I64" s="2"/>
      <c r="J64" s="374"/>
      <c r="K64" s="374"/>
      <c r="L64" s="374"/>
      <c r="M64" s="374"/>
      <c r="N64" s="374"/>
      <c r="O64" s="374"/>
      <c r="P64" s="374"/>
      <c r="Q64" s="2"/>
      <c r="R64" s="2"/>
      <c r="S64" s="2"/>
      <c r="T64" s="2"/>
      <c r="U64" s="2"/>
      <c r="V64" s="2"/>
      <c r="W64" s="2"/>
      <c r="X64" s="2"/>
      <c r="Y64" s="2"/>
    </row>
    <row r="65" spans="1:31" ht="15.75" x14ac:dyDescent="0.25">
      <c r="A65" s="93"/>
      <c r="B65" s="16"/>
      <c r="C65" s="334"/>
      <c r="D65" s="97"/>
      <c r="E65" s="14"/>
      <c r="F65" s="14"/>
      <c r="G65" s="30"/>
      <c r="H65" s="2"/>
      <c r="I65" s="2"/>
      <c r="J65" s="374"/>
      <c r="K65" s="374"/>
      <c r="L65" s="374"/>
      <c r="M65" s="374"/>
      <c r="N65" s="374"/>
      <c r="O65" s="374"/>
      <c r="P65" s="374"/>
      <c r="Q65" s="2"/>
      <c r="R65" s="2"/>
      <c r="S65" s="2"/>
      <c r="T65" s="2"/>
      <c r="U65" s="2"/>
      <c r="V65" s="2"/>
      <c r="W65" s="2"/>
      <c r="X65" s="2"/>
      <c r="Y65" s="2"/>
    </row>
    <row r="66" spans="1:31" ht="15.75" x14ac:dyDescent="0.2">
      <c r="A66" s="93" t="s">
        <v>42</v>
      </c>
      <c r="B66" s="61">
        <f>B47+B48+B49+B50+B51+B52+B55+B56+B57+B58+B59+B60+B61+B62+B63+B64</f>
        <v>30</v>
      </c>
      <c r="C66" s="62">
        <f>SUM(C47:C52,C55:C65)</f>
        <v>10</v>
      </c>
      <c r="D66" s="62"/>
      <c r="E66" s="98"/>
      <c r="F66" s="62"/>
      <c r="G66" s="44">
        <f>SUM(G47:G52,G55:G65)</f>
        <v>4433230</v>
      </c>
      <c r="H66" s="2"/>
      <c r="I66" s="2"/>
      <c r="J66" s="374"/>
      <c r="K66" s="374"/>
      <c r="L66" s="374"/>
      <c r="M66" s="374"/>
      <c r="N66" s="374"/>
      <c r="O66" s="374"/>
      <c r="P66" s="374"/>
      <c r="Q66" s="2"/>
      <c r="R66" s="2"/>
      <c r="S66" s="2"/>
      <c r="T66" s="2"/>
      <c r="U66" s="2"/>
      <c r="V66" s="2"/>
      <c r="W66" s="2"/>
      <c r="X66" s="2"/>
      <c r="Y66" s="2"/>
    </row>
    <row r="67" spans="1:31" ht="15" x14ac:dyDescent="0.2">
      <c r="A67" s="2"/>
      <c r="B67" s="2"/>
      <c r="C67" s="2"/>
      <c r="D67" s="2"/>
      <c r="E67" s="2"/>
      <c r="F67" s="2"/>
      <c r="G67" s="2"/>
      <c r="H67" s="2"/>
      <c r="I67" s="2"/>
      <c r="J67" s="2"/>
      <c r="K67" s="2"/>
      <c r="L67" s="2"/>
      <c r="M67" s="2"/>
      <c r="N67" s="2"/>
      <c r="O67" s="2"/>
      <c r="P67" s="2"/>
      <c r="Q67" s="2"/>
      <c r="R67" s="2"/>
      <c r="S67" s="2"/>
      <c r="T67" s="2"/>
      <c r="U67" s="2"/>
      <c r="V67" s="2"/>
      <c r="W67" s="2"/>
      <c r="X67" s="2"/>
      <c r="Y67" s="2"/>
    </row>
    <row r="68" spans="1:31" ht="15" x14ac:dyDescent="0.2">
      <c r="A68" s="74" t="s">
        <v>45</v>
      </c>
      <c r="B68" s="99">
        <f>B66+B41+B23</f>
        <v>81</v>
      </c>
      <c r="C68" s="99">
        <f>C66+C41+C23</f>
        <v>25</v>
      </c>
      <c r="D68" s="74"/>
      <c r="E68" s="2"/>
      <c r="F68" s="2"/>
      <c r="G68" s="44">
        <f>SUM(G23,G41,G66)</f>
        <v>12589658</v>
      </c>
      <c r="H68" s="2"/>
      <c r="I68" s="2"/>
      <c r="J68" s="2"/>
      <c r="K68" s="2"/>
      <c r="L68" s="2"/>
      <c r="M68" s="2"/>
      <c r="N68" s="2"/>
      <c r="O68" s="2"/>
      <c r="P68" s="2"/>
      <c r="Q68" s="2"/>
      <c r="R68" s="2"/>
      <c r="S68" s="2"/>
      <c r="T68" s="2"/>
      <c r="U68" s="2"/>
      <c r="V68" s="2"/>
      <c r="W68" s="2"/>
      <c r="X68" s="2"/>
      <c r="Y68" s="2"/>
    </row>
    <row r="69" spans="1:31" ht="15.75" x14ac:dyDescent="0.25">
      <c r="A69" s="2"/>
      <c r="B69" s="2"/>
      <c r="C69" s="2"/>
      <c r="D69" s="2"/>
      <c r="E69" s="2"/>
      <c r="F69" s="2"/>
      <c r="G69" s="2"/>
      <c r="H69" s="2"/>
      <c r="I69" s="2"/>
      <c r="J69" s="100" t="s">
        <v>60</v>
      </c>
      <c r="K69" s="101">
        <f>K26+B68+T29+AB26</f>
        <v>107</v>
      </c>
      <c r="L69" s="102"/>
      <c r="M69" s="103"/>
      <c r="N69" s="103"/>
      <c r="O69" s="103"/>
      <c r="P69" s="103"/>
      <c r="Q69" s="2"/>
      <c r="R69" s="2"/>
      <c r="S69" s="2"/>
      <c r="T69" s="2"/>
      <c r="U69" s="2"/>
      <c r="V69" s="2"/>
      <c r="W69" s="2"/>
      <c r="X69" s="2"/>
      <c r="Y69" s="2"/>
    </row>
    <row r="70" spans="1:31" ht="16.5" thickBot="1" x14ac:dyDescent="0.3">
      <c r="A70" s="2"/>
      <c r="B70" s="2"/>
      <c r="C70" s="2"/>
      <c r="D70" s="2"/>
      <c r="E70" s="2"/>
      <c r="F70" s="2"/>
      <c r="G70" s="2"/>
      <c r="H70" s="2"/>
      <c r="I70" s="2"/>
      <c r="J70" s="100" t="s">
        <v>61</v>
      </c>
      <c r="K70" s="104">
        <f>L26+C68+U29+AC26</f>
        <v>33</v>
      </c>
      <c r="L70" s="2"/>
      <c r="M70" s="105" t="s">
        <v>0</v>
      </c>
      <c r="N70" s="105" t="s">
        <v>43</v>
      </c>
      <c r="O70" s="105" t="s">
        <v>54</v>
      </c>
      <c r="P70" s="106"/>
      <c r="R70" s="107"/>
      <c r="T70" s="2"/>
      <c r="U70" s="2"/>
      <c r="V70" s="2"/>
      <c r="W70" s="2"/>
      <c r="X70" s="2"/>
      <c r="Y70" s="2"/>
    </row>
    <row r="71" spans="1:31" ht="27" customHeight="1" thickBot="1" x14ac:dyDescent="0.3">
      <c r="A71" s="2"/>
      <c r="B71" s="2"/>
      <c r="C71" s="2"/>
      <c r="D71" s="2"/>
      <c r="E71" s="2"/>
      <c r="F71" s="2"/>
      <c r="G71" s="2"/>
      <c r="H71" s="2"/>
      <c r="I71" s="2"/>
      <c r="J71" s="108" t="s">
        <v>62</v>
      </c>
      <c r="K71" s="377">
        <f>SUM(G68,P26,Y29)</f>
        <v>17242217</v>
      </c>
      <c r="L71" s="378"/>
      <c r="M71" s="109">
        <f>SUM(G4:G12,G16:G22,Y20:Y21)</f>
        <v>4696706</v>
      </c>
      <c r="N71" s="110">
        <f>SUM(G27:G32,G35:G40,P4:P15,P18:P25,Y4:Y7,Y15:Y16,Y22:Y23)</f>
        <v>7739047</v>
      </c>
      <c r="O71" s="109">
        <f>SUM(G47:G52,G55:G64,Y24)</f>
        <v>4806464</v>
      </c>
      <c r="P71" s="111">
        <f>SUM(M71:O71)</f>
        <v>17242217</v>
      </c>
      <c r="R71" s="112"/>
      <c r="S71" s="113"/>
      <c r="T71" s="2"/>
      <c r="U71" s="2"/>
      <c r="V71" s="2"/>
      <c r="W71" s="2"/>
      <c r="X71" s="2"/>
      <c r="Y71" s="2"/>
    </row>
    <row r="72" spans="1:31" ht="13.5" thickBot="1" x14ac:dyDescent="0.25"/>
    <row r="73" spans="1:31" ht="36" customHeight="1" thickBot="1" x14ac:dyDescent="0.25">
      <c r="A73" s="365" t="s">
        <v>63</v>
      </c>
      <c r="B73" s="366"/>
      <c r="C73" s="366"/>
      <c r="D73" s="366"/>
      <c r="E73" s="366"/>
      <c r="F73" s="366"/>
      <c r="G73" s="366"/>
      <c r="H73" s="366"/>
      <c r="I73" s="366"/>
      <c r="J73" s="366"/>
      <c r="K73" s="366"/>
      <c r="L73" s="366"/>
      <c r="M73" s="366"/>
      <c r="N73" s="366"/>
      <c r="O73" s="366"/>
      <c r="P73" s="366"/>
      <c r="Q73" s="366"/>
      <c r="R73" s="366"/>
      <c r="S73" s="366"/>
      <c r="T73" s="366"/>
      <c r="U73" s="366"/>
      <c r="V73" s="366"/>
      <c r="W73" s="366"/>
      <c r="X73" s="366"/>
      <c r="Y73" s="366"/>
      <c r="Z73" s="366"/>
      <c r="AA73" s="366"/>
      <c r="AB73" s="366"/>
      <c r="AC73" s="366"/>
      <c r="AD73" s="366"/>
      <c r="AE73" s="367"/>
    </row>
    <row r="74" spans="1:31" ht="286.5" customHeight="1" x14ac:dyDescent="0.2">
      <c r="A74" s="359" t="s">
        <v>350</v>
      </c>
      <c r="B74" s="360"/>
      <c r="C74" s="360"/>
      <c r="D74" s="360"/>
      <c r="E74" s="360"/>
      <c r="F74" s="360"/>
      <c r="G74" s="360"/>
      <c r="H74" s="360"/>
      <c r="I74" s="360"/>
      <c r="J74" s="360"/>
      <c r="K74" s="360"/>
      <c r="L74" s="360"/>
      <c r="M74" s="360"/>
      <c r="N74" s="360"/>
      <c r="O74" s="360"/>
      <c r="P74" s="360"/>
      <c r="Q74" s="360"/>
      <c r="R74" s="360"/>
      <c r="S74" s="360"/>
      <c r="T74" s="360"/>
      <c r="U74" s="360"/>
      <c r="V74" s="360"/>
      <c r="W74" s="360"/>
      <c r="X74" s="360"/>
      <c r="Y74" s="360"/>
      <c r="Z74" s="360"/>
      <c r="AA74" s="360"/>
      <c r="AB74" s="360"/>
      <c r="AC74" s="360"/>
      <c r="AD74" s="360"/>
      <c r="AE74" s="360"/>
    </row>
    <row r="75" spans="1:31" ht="222.75" customHeight="1" x14ac:dyDescent="0.2">
      <c r="A75" s="361"/>
      <c r="B75" s="360"/>
      <c r="C75" s="360"/>
      <c r="D75" s="360"/>
      <c r="E75" s="360"/>
      <c r="F75" s="360"/>
      <c r="G75" s="360"/>
      <c r="H75" s="360"/>
      <c r="I75" s="360"/>
      <c r="J75" s="360"/>
      <c r="K75" s="360"/>
      <c r="L75" s="360"/>
      <c r="M75" s="360"/>
      <c r="N75" s="360"/>
      <c r="O75" s="360"/>
      <c r="P75" s="360"/>
      <c r="Q75" s="360"/>
      <c r="R75" s="360"/>
      <c r="S75" s="360"/>
      <c r="T75" s="360"/>
      <c r="U75" s="360"/>
      <c r="V75" s="360"/>
      <c r="W75" s="360"/>
      <c r="X75" s="360"/>
      <c r="Y75" s="360"/>
      <c r="Z75" s="360"/>
      <c r="AA75" s="360"/>
      <c r="AB75" s="360"/>
      <c r="AC75" s="360"/>
      <c r="AD75" s="360"/>
      <c r="AE75" s="360"/>
    </row>
    <row r="76" spans="1:31" ht="109.5" customHeight="1" x14ac:dyDescent="0.2">
      <c r="A76" s="361"/>
      <c r="B76" s="360"/>
      <c r="C76" s="360"/>
      <c r="D76" s="360"/>
      <c r="E76" s="360"/>
      <c r="F76" s="360"/>
      <c r="G76" s="360"/>
      <c r="H76" s="360"/>
      <c r="I76" s="360"/>
      <c r="J76" s="360"/>
      <c r="K76" s="360"/>
      <c r="L76" s="360"/>
      <c r="M76" s="360"/>
      <c r="N76" s="360"/>
      <c r="O76" s="360"/>
      <c r="P76" s="360"/>
      <c r="Q76" s="360"/>
      <c r="R76" s="360"/>
      <c r="S76" s="360"/>
      <c r="T76" s="360"/>
      <c r="U76" s="360"/>
      <c r="V76" s="360"/>
      <c r="W76" s="360"/>
      <c r="X76" s="360"/>
      <c r="Y76" s="360"/>
      <c r="Z76" s="360"/>
      <c r="AA76" s="360"/>
      <c r="AB76" s="360"/>
      <c r="AC76" s="360"/>
      <c r="AD76" s="360"/>
      <c r="AE76" s="360"/>
    </row>
    <row r="77" spans="1:31" ht="148.5" customHeight="1" x14ac:dyDescent="0.2">
      <c r="A77" s="361"/>
      <c r="B77" s="360"/>
      <c r="C77" s="360"/>
      <c r="D77" s="360"/>
      <c r="E77" s="360"/>
      <c r="F77" s="360"/>
      <c r="G77" s="360"/>
      <c r="H77" s="360"/>
      <c r="I77" s="360"/>
      <c r="J77" s="360"/>
      <c r="K77" s="360"/>
      <c r="L77" s="360"/>
      <c r="M77" s="360"/>
      <c r="N77" s="360"/>
      <c r="O77" s="360"/>
      <c r="P77" s="360"/>
      <c r="Q77" s="360"/>
      <c r="R77" s="360"/>
      <c r="S77" s="360"/>
      <c r="T77" s="360"/>
      <c r="U77" s="360"/>
      <c r="V77" s="360"/>
      <c r="W77" s="360"/>
      <c r="X77" s="360"/>
      <c r="Y77" s="360"/>
      <c r="Z77" s="360"/>
      <c r="AA77" s="360"/>
      <c r="AB77" s="360"/>
      <c r="AC77" s="360"/>
      <c r="AD77" s="360"/>
      <c r="AE77" s="360"/>
    </row>
    <row r="78" spans="1:31" ht="90" customHeight="1" x14ac:dyDescent="0.2">
      <c r="A78" s="361"/>
      <c r="B78" s="360"/>
      <c r="C78" s="360"/>
      <c r="D78" s="360"/>
      <c r="E78" s="360"/>
      <c r="F78" s="360"/>
      <c r="G78" s="360"/>
      <c r="H78" s="360"/>
      <c r="I78" s="360"/>
      <c r="J78" s="360"/>
      <c r="K78" s="360"/>
      <c r="L78" s="360"/>
      <c r="M78" s="360"/>
      <c r="N78" s="360"/>
      <c r="O78" s="360"/>
      <c r="P78" s="360"/>
      <c r="Q78" s="360"/>
      <c r="R78" s="360"/>
      <c r="S78" s="360"/>
      <c r="T78" s="360"/>
      <c r="U78" s="360"/>
      <c r="V78" s="360"/>
      <c r="W78" s="360"/>
      <c r="X78" s="360"/>
      <c r="Y78" s="360"/>
      <c r="Z78" s="360"/>
      <c r="AA78" s="360"/>
      <c r="AB78" s="360"/>
      <c r="AC78" s="360"/>
      <c r="AD78" s="360"/>
      <c r="AE78" s="360"/>
    </row>
    <row r="79" spans="1:31" ht="156" customHeight="1" x14ac:dyDescent="0.2">
      <c r="A79" s="361"/>
      <c r="B79" s="360"/>
      <c r="C79" s="360"/>
      <c r="D79" s="360"/>
      <c r="E79" s="360"/>
      <c r="F79" s="360"/>
      <c r="G79" s="360"/>
      <c r="H79" s="360"/>
      <c r="I79" s="360"/>
      <c r="J79" s="360"/>
      <c r="K79" s="360"/>
      <c r="L79" s="360"/>
      <c r="M79" s="360"/>
      <c r="N79" s="360"/>
      <c r="O79" s="360"/>
      <c r="P79" s="360"/>
      <c r="Q79" s="360"/>
      <c r="R79" s="360"/>
      <c r="S79" s="360"/>
      <c r="T79" s="360"/>
      <c r="U79" s="360"/>
      <c r="V79" s="360"/>
      <c r="W79" s="360"/>
      <c r="X79" s="360"/>
      <c r="Y79" s="360"/>
      <c r="Z79" s="360"/>
      <c r="AA79" s="360"/>
      <c r="AB79" s="360"/>
      <c r="AC79" s="360"/>
      <c r="AD79" s="360"/>
      <c r="AE79" s="360"/>
    </row>
    <row r="80" spans="1:31" ht="258" customHeight="1" x14ac:dyDescent="0.2">
      <c r="A80" s="361"/>
      <c r="B80" s="360"/>
      <c r="C80" s="360"/>
      <c r="D80" s="360"/>
      <c r="E80" s="360"/>
      <c r="F80" s="360"/>
      <c r="G80" s="360"/>
      <c r="H80" s="360"/>
      <c r="I80" s="360"/>
      <c r="J80" s="360"/>
      <c r="K80" s="360"/>
      <c r="L80" s="360"/>
      <c r="M80" s="360"/>
      <c r="N80" s="360"/>
      <c r="O80" s="360"/>
      <c r="P80" s="360"/>
      <c r="Q80" s="360"/>
      <c r="R80" s="360"/>
      <c r="S80" s="360"/>
      <c r="T80" s="360"/>
      <c r="U80" s="360"/>
      <c r="V80" s="360"/>
      <c r="W80" s="360"/>
      <c r="X80" s="360"/>
      <c r="Y80" s="360"/>
      <c r="Z80" s="360"/>
      <c r="AA80" s="360"/>
      <c r="AB80" s="360"/>
      <c r="AC80" s="360"/>
      <c r="AD80" s="360"/>
      <c r="AE80" s="360"/>
    </row>
    <row r="81" spans="1:21" ht="18.75" x14ac:dyDescent="0.2">
      <c r="S81" s="114"/>
      <c r="T81" s="115"/>
      <c r="U81" s="114"/>
    </row>
    <row r="82" spans="1:21" ht="18.75" x14ac:dyDescent="0.2">
      <c r="S82" s="114"/>
      <c r="T82" s="115"/>
      <c r="U82" s="114"/>
    </row>
    <row r="83" spans="1:21" ht="18.75" x14ac:dyDescent="0.2">
      <c r="A83" s="362"/>
      <c r="S83" s="114"/>
      <c r="T83" s="115"/>
      <c r="U83" s="114"/>
    </row>
    <row r="84" spans="1:21" ht="18.75" x14ac:dyDescent="0.2">
      <c r="A84" s="362"/>
      <c r="S84" s="114"/>
      <c r="T84" s="115"/>
      <c r="U84" s="114"/>
    </row>
    <row r="85" spans="1:21" ht="18.75" x14ac:dyDescent="0.2">
      <c r="A85" s="362"/>
      <c r="S85" s="114"/>
      <c r="T85" s="115"/>
      <c r="U85" s="114"/>
    </row>
    <row r="86" spans="1:21" ht="18.75" x14ac:dyDescent="0.25">
      <c r="A86" s="117"/>
      <c r="S86" s="114"/>
      <c r="T86" s="115"/>
      <c r="U86" s="114"/>
    </row>
    <row r="87" spans="1:21" ht="18.75" x14ac:dyDescent="0.25">
      <c r="A87" s="117"/>
      <c r="S87" s="114"/>
      <c r="T87" s="115"/>
      <c r="U87" s="114"/>
    </row>
    <row r="88" spans="1:21" ht="18.75" x14ac:dyDescent="0.25">
      <c r="A88" s="116"/>
      <c r="S88" s="114"/>
      <c r="T88" s="115"/>
      <c r="U88" s="114"/>
    </row>
    <row r="89" spans="1:21" ht="18.75" x14ac:dyDescent="0.2">
      <c r="A89" s="362" t="s">
        <v>64</v>
      </c>
      <c r="B89" s="364"/>
      <c r="S89" s="114"/>
      <c r="T89" s="115"/>
      <c r="U89" s="114"/>
    </row>
    <row r="90" spans="1:21" ht="18.75" x14ac:dyDescent="0.2">
      <c r="A90" s="363"/>
      <c r="B90" s="364"/>
      <c r="S90" s="114"/>
      <c r="T90" s="115"/>
      <c r="U90" s="114"/>
    </row>
    <row r="91" spans="1:21" ht="18.75" x14ac:dyDescent="0.2">
      <c r="A91" s="363"/>
      <c r="B91" s="364"/>
      <c r="S91" s="114"/>
      <c r="T91" s="115"/>
      <c r="U91" s="114"/>
    </row>
    <row r="92" spans="1:21" ht="18.75" x14ac:dyDescent="0.25">
      <c r="A92" s="117"/>
      <c r="B92" s="118"/>
      <c r="S92" s="114"/>
      <c r="T92" s="115"/>
      <c r="U92" s="114"/>
    </row>
    <row r="93" spans="1:21" ht="12.75" customHeight="1" x14ac:dyDescent="0.25">
      <c r="A93" s="119"/>
    </row>
    <row r="94" spans="1:21" ht="12.75" customHeight="1" x14ac:dyDescent="0.2">
      <c r="A94" s="353" t="s">
        <v>65</v>
      </c>
    </row>
    <row r="95" spans="1:21" ht="12.75" customHeight="1" x14ac:dyDescent="0.2">
      <c r="A95" s="354"/>
    </row>
    <row r="96" spans="1:21" ht="12.75" customHeight="1" x14ac:dyDescent="0.2">
      <c r="A96" s="354"/>
    </row>
    <row r="97" spans="1:1" ht="249.75" customHeight="1" x14ac:dyDescent="0.2">
      <c r="A97" s="120"/>
    </row>
    <row r="98" spans="1:1" x14ac:dyDescent="0.2">
      <c r="A98" s="121"/>
    </row>
    <row r="99" spans="1:1" x14ac:dyDescent="0.2">
      <c r="A99" s="121"/>
    </row>
    <row r="100" spans="1:1" x14ac:dyDescent="0.2">
      <c r="A100" s="121"/>
    </row>
    <row r="101" spans="1:1" x14ac:dyDescent="0.2">
      <c r="A101" s="121"/>
    </row>
    <row r="102" spans="1:1" x14ac:dyDescent="0.2">
      <c r="A102" s="121"/>
    </row>
    <row r="103" spans="1:1" x14ac:dyDescent="0.2">
      <c r="A103" s="121"/>
    </row>
    <row r="104" spans="1:1" x14ac:dyDescent="0.2">
      <c r="A104" s="121"/>
    </row>
    <row r="139" spans="6:14" x14ac:dyDescent="0.2">
      <c r="J139" s="3" t="s">
        <v>66</v>
      </c>
      <c r="K139" s="3" t="s">
        <v>67</v>
      </c>
    </row>
    <row r="140" spans="6:14" s="122" customFormat="1" x14ac:dyDescent="0.2">
      <c r="F140" s="122">
        <v>0</v>
      </c>
      <c r="G140" s="122">
        <v>0</v>
      </c>
      <c r="H140" s="122">
        <v>0</v>
      </c>
      <c r="I140" s="122">
        <v>0</v>
      </c>
      <c r="J140" s="122">
        <v>0</v>
      </c>
      <c r="K140" s="122">
        <v>0</v>
      </c>
      <c r="L140" s="122">
        <v>0</v>
      </c>
      <c r="M140" s="122">
        <v>0</v>
      </c>
      <c r="N140" s="122" t="str">
        <f>+CONCATENATE(G140,"VEHICULO",M140)</f>
        <v>0VEHICULO0</v>
      </c>
    </row>
    <row r="141" spans="6:14" s="122" customFormat="1" x14ac:dyDescent="0.2">
      <c r="F141" s="122" t="s">
        <v>68</v>
      </c>
      <c r="G141" s="122" t="s">
        <v>69</v>
      </c>
      <c r="H141" s="122" t="s">
        <v>14</v>
      </c>
      <c r="I141" s="123">
        <v>582964</v>
      </c>
      <c r="J141" s="123" t="s">
        <v>70</v>
      </c>
      <c r="K141" s="124">
        <v>4</v>
      </c>
      <c r="L141" s="122" t="s">
        <v>71</v>
      </c>
      <c r="M141" s="122" t="s">
        <v>72</v>
      </c>
      <c r="N141" s="122" t="str">
        <f t="shared" ref="N141:N187" si="7">+CONCATENATE(G141,F141)</f>
        <v>1.40m³-15H-4OP</v>
      </c>
    </row>
    <row r="142" spans="6:14" s="122" customFormat="1" x14ac:dyDescent="0.2">
      <c r="F142" s="122" t="s">
        <v>73</v>
      </c>
      <c r="G142" s="122" t="s">
        <v>74</v>
      </c>
      <c r="H142" s="122" t="s">
        <v>21</v>
      </c>
      <c r="I142" s="123">
        <v>514916</v>
      </c>
      <c r="J142" s="123" t="s">
        <v>70</v>
      </c>
      <c r="K142" s="124">
        <v>3</v>
      </c>
      <c r="L142" s="122" t="s">
        <v>75</v>
      </c>
      <c r="M142" s="122" t="s">
        <v>72</v>
      </c>
      <c r="N142" s="122" t="str">
        <f t="shared" si="7"/>
        <v>2.40m³-15H-3OP</v>
      </c>
    </row>
    <row r="143" spans="6:14" s="122" customFormat="1" x14ac:dyDescent="0.2">
      <c r="F143" s="122" t="s">
        <v>76</v>
      </c>
      <c r="G143" s="122" t="s">
        <v>77</v>
      </c>
      <c r="H143" s="122" t="s">
        <v>78</v>
      </c>
      <c r="I143" s="123">
        <v>448638</v>
      </c>
      <c r="J143" s="123" t="s">
        <v>70</v>
      </c>
      <c r="K143" s="124">
        <v>2</v>
      </c>
      <c r="L143" s="122" t="s">
        <v>79</v>
      </c>
      <c r="M143" s="122" t="s">
        <v>72</v>
      </c>
      <c r="N143" s="122" t="str">
        <f t="shared" si="7"/>
        <v>3.40m³-15H-2OP</v>
      </c>
    </row>
    <row r="144" spans="6:14" s="122" customFormat="1" x14ac:dyDescent="0.2">
      <c r="F144" s="122" t="s">
        <v>80</v>
      </c>
      <c r="G144" s="122" t="s">
        <v>81</v>
      </c>
      <c r="H144" s="122" t="s">
        <v>82</v>
      </c>
      <c r="I144" s="123">
        <v>381163</v>
      </c>
      <c r="J144" s="123" t="s">
        <v>70</v>
      </c>
      <c r="K144" s="124">
        <v>1</v>
      </c>
      <c r="L144" s="122" t="s">
        <v>83</v>
      </c>
      <c r="M144" s="122" t="s">
        <v>72</v>
      </c>
      <c r="N144" s="122" t="str">
        <f t="shared" si="7"/>
        <v>4.40m³-15H-1OP</v>
      </c>
    </row>
    <row r="145" spans="6:14" s="122" customFormat="1" x14ac:dyDescent="0.2">
      <c r="F145" s="122" t="s">
        <v>84</v>
      </c>
      <c r="G145" s="122" t="s">
        <v>85</v>
      </c>
      <c r="H145" s="122" t="s">
        <v>86</v>
      </c>
      <c r="I145" s="123">
        <v>321680</v>
      </c>
      <c r="J145" s="123" t="s">
        <v>70</v>
      </c>
      <c r="K145" s="124">
        <v>0</v>
      </c>
      <c r="L145" s="122" t="s">
        <v>87</v>
      </c>
      <c r="M145" s="122" t="s">
        <v>72</v>
      </c>
      <c r="N145" s="122" t="str">
        <f t="shared" si="7"/>
        <v>5.40m³-15H-0OP</v>
      </c>
    </row>
    <row r="146" spans="6:14" s="122" customFormat="1" x14ac:dyDescent="0.2">
      <c r="F146" s="122" t="s">
        <v>88</v>
      </c>
      <c r="G146" s="122" t="s">
        <v>89</v>
      </c>
      <c r="H146" s="122" t="s">
        <v>90</v>
      </c>
      <c r="I146" s="123">
        <v>509192</v>
      </c>
      <c r="J146" s="123" t="s">
        <v>91</v>
      </c>
      <c r="K146" s="124">
        <v>4</v>
      </c>
      <c r="L146" s="122" t="s">
        <v>92</v>
      </c>
      <c r="M146" s="122" t="s">
        <v>72</v>
      </c>
      <c r="N146" s="122" t="str">
        <f t="shared" si="7"/>
        <v>6.40m³-9H-4OP</v>
      </c>
    </row>
    <row r="147" spans="6:14" s="122" customFormat="1" x14ac:dyDescent="0.2">
      <c r="F147" s="122" t="s">
        <v>93</v>
      </c>
      <c r="G147" s="122" t="s">
        <v>94</v>
      </c>
      <c r="H147" s="122" t="s">
        <v>95</v>
      </c>
      <c r="I147" s="123">
        <v>450204</v>
      </c>
      <c r="J147" s="123" t="s">
        <v>91</v>
      </c>
      <c r="K147" s="124">
        <v>3</v>
      </c>
      <c r="L147" s="122" t="s">
        <v>96</v>
      </c>
      <c r="M147" s="122" t="s">
        <v>72</v>
      </c>
      <c r="N147" s="122" t="str">
        <f t="shared" si="7"/>
        <v>7.40m³-9H-3OP</v>
      </c>
    </row>
    <row r="148" spans="6:14" s="122" customFormat="1" x14ac:dyDescent="0.2">
      <c r="F148" s="122" t="s">
        <v>97</v>
      </c>
      <c r="G148" s="122" t="s">
        <v>98</v>
      </c>
      <c r="H148" s="122" t="s">
        <v>99</v>
      </c>
      <c r="I148" s="123">
        <v>392186</v>
      </c>
      <c r="J148" s="123" t="s">
        <v>91</v>
      </c>
      <c r="K148" s="124">
        <v>2</v>
      </c>
      <c r="L148" s="122" t="s">
        <v>100</v>
      </c>
      <c r="M148" s="122" t="s">
        <v>72</v>
      </c>
      <c r="N148" s="122" t="str">
        <f t="shared" si="7"/>
        <v>8.40m³-9H-2OP</v>
      </c>
    </row>
    <row r="149" spans="6:14" s="122" customFormat="1" x14ac:dyDescent="0.2">
      <c r="F149" s="122" t="s">
        <v>101</v>
      </c>
      <c r="G149" s="122" t="s">
        <v>102</v>
      </c>
      <c r="H149" s="122" t="s">
        <v>103</v>
      </c>
      <c r="I149" s="123">
        <v>329397</v>
      </c>
      <c r="J149" s="123" t="s">
        <v>91</v>
      </c>
      <c r="K149" s="124">
        <v>1</v>
      </c>
      <c r="L149" s="122" t="s">
        <v>104</v>
      </c>
      <c r="M149" s="122" t="s">
        <v>72</v>
      </c>
      <c r="N149" s="122" t="str">
        <f t="shared" si="7"/>
        <v>9.40m³-9H-1OP</v>
      </c>
    </row>
    <row r="150" spans="6:14" s="122" customFormat="1" x14ac:dyDescent="0.2">
      <c r="F150" s="122" t="s">
        <v>105</v>
      </c>
      <c r="G150" s="122" t="s">
        <v>106</v>
      </c>
      <c r="H150" s="122" t="s">
        <v>107</v>
      </c>
      <c r="I150" s="123">
        <v>280919</v>
      </c>
      <c r="J150" s="123" t="s">
        <v>91</v>
      </c>
      <c r="K150" s="124">
        <v>0</v>
      </c>
      <c r="L150" s="122" t="s">
        <v>108</v>
      </c>
      <c r="M150" s="122" t="s">
        <v>72</v>
      </c>
      <c r="N150" s="122" t="str">
        <f t="shared" si="7"/>
        <v>10.40m³-9H-0OP</v>
      </c>
    </row>
    <row r="151" spans="6:14" s="122" customFormat="1" x14ac:dyDescent="0.2">
      <c r="F151" s="122" t="s">
        <v>109</v>
      </c>
      <c r="G151" s="122" t="s">
        <v>110</v>
      </c>
      <c r="H151" s="122" t="s">
        <v>111</v>
      </c>
      <c r="I151" s="123">
        <v>420585</v>
      </c>
      <c r="J151" s="123" t="s">
        <v>112</v>
      </c>
      <c r="K151" s="124">
        <v>4</v>
      </c>
      <c r="L151" s="122" t="s">
        <v>113</v>
      </c>
      <c r="M151" s="122" t="s">
        <v>72</v>
      </c>
      <c r="N151" s="122" t="str">
        <f t="shared" si="7"/>
        <v>11.40m³-4H-4OP</v>
      </c>
    </row>
    <row r="152" spans="6:14" s="122" customFormat="1" x14ac:dyDescent="0.2">
      <c r="F152" s="122" t="s">
        <v>114</v>
      </c>
      <c r="G152" s="122" t="s">
        <v>115</v>
      </c>
      <c r="H152" s="122" t="s">
        <v>116</v>
      </c>
      <c r="I152" s="123">
        <v>369327</v>
      </c>
      <c r="J152" s="123" t="s">
        <v>112</v>
      </c>
      <c r="K152" s="124">
        <v>3</v>
      </c>
      <c r="L152" s="122" t="s">
        <v>117</v>
      </c>
      <c r="M152" s="122" t="s">
        <v>72</v>
      </c>
      <c r="N152" s="122" t="str">
        <f t="shared" si="7"/>
        <v>12.40m³-4H-3OP</v>
      </c>
    </row>
    <row r="153" spans="6:14" s="122" customFormat="1" x14ac:dyDescent="0.2">
      <c r="F153" s="122" t="s">
        <v>118</v>
      </c>
      <c r="G153" s="122" t="s">
        <v>119</v>
      </c>
      <c r="H153" s="122" t="s">
        <v>120</v>
      </c>
      <c r="I153" s="123">
        <v>323463</v>
      </c>
      <c r="J153" s="123" t="s">
        <v>112</v>
      </c>
      <c r="K153" s="124">
        <v>2</v>
      </c>
      <c r="L153" s="122" t="s">
        <v>121</v>
      </c>
      <c r="M153" s="122" t="s">
        <v>72</v>
      </c>
      <c r="N153" s="122" t="str">
        <f t="shared" si="7"/>
        <v>13.40m³-4H-2OP</v>
      </c>
    </row>
    <row r="154" spans="6:14" s="122" customFormat="1" x14ac:dyDescent="0.2">
      <c r="F154" s="122" t="s">
        <v>122</v>
      </c>
      <c r="G154" s="122" t="s">
        <v>123</v>
      </c>
      <c r="H154" s="122" t="s">
        <v>124</v>
      </c>
      <c r="I154" s="123">
        <v>270330</v>
      </c>
      <c r="J154" s="123" t="s">
        <v>112</v>
      </c>
      <c r="K154" s="124">
        <v>1</v>
      </c>
      <c r="L154" s="122" t="s">
        <v>125</v>
      </c>
      <c r="M154" s="122" t="s">
        <v>72</v>
      </c>
      <c r="N154" s="122" t="str">
        <f t="shared" si="7"/>
        <v>14.40m³-4H-1OP</v>
      </c>
    </row>
    <row r="155" spans="6:14" s="122" customFormat="1" x14ac:dyDescent="0.2">
      <c r="F155" s="122" t="s">
        <v>126</v>
      </c>
      <c r="G155" s="122" t="s">
        <v>127</v>
      </c>
      <c r="H155" s="122" t="s">
        <v>128</v>
      </c>
      <c r="I155" s="123">
        <v>221709</v>
      </c>
      <c r="J155" s="123" t="s">
        <v>112</v>
      </c>
      <c r="K155" s="124">
        <v>0</v>
      </c>
      <c r="L155" s="122" t="s">
        <v>129</v>
      </c>
      <c r="M155" s="122" t="s">
        <v>72</v>
      </c>
      <c r="N155" s="122" t="str">
        <f t="shared" si="7"/>
        <v>15.40m³-4H-0OP</v>
      </c>
    </row>
    <row r="156" spans="6:14" s="122" customFormat="1" x14ac:dyDescent="0.2">
      <c r="F156" s="122" t="s">
        <v>130</v>
      </c>
      <c r="G156" s="122" t="s">
        <v>131</v>
      </c>
      <c r="H156" s="122" t="s">
        <v>19</v>
      </c>
      <c r="I156" s="123">
        <v>501739</v>
      </c>
      <c r="J156" s="123" t="s">
        <v>70</v>
      </c>
      <c r="K156" s="124">
        <v>4</v>
      </c>
      <c r="L156" s="122" t="s">
        <v>132</v>
      </c>
      <c r="M156" s="122" t="s">
        <v>72</v>
      </c>
      <c r="N156" s="122" t="str">
        <f t="shared" si="7"/>
        <v>16.25m³-15H-4OP</v>
      </c>
    </row>
    <row r="157" spans="6:14" s="122" customFormat="1" x14ac:dyDescent="0.2">
      <c r="F157" s="122" t="s">
        <v>133</v>
      </c>
      <c r="G157" s="122" t="s">
        <v>134</v>
      </c>
      <c r="H157" s="122" t="s">
        <v>17</v>
      </c>
      <c r="I157" s="123">
        <v>443323</v>
      </c>
      <c r="J157" s="123" t="s">
        <v>70</v>
      </c>
      <c r="K157" s="124">
        <v>3</v>
      </c>
      <c r="L157" s="122" t="s">
        <v>135</v>
      </c>
      <c r="M157" s="122" t="s">
        <v>72</v>
      </c>
      <c r="N157" s="122" t="str">
        <f t="shared" si="7"/>
        <v>17.25m³-15H-3OP</v>
      </c>
    </row>
    <row r="158" spans="6:14" s="122" customFormat="1" x14ac:dyDescent="0.2">
      <c r="F158" s="122" t="s">
        <v>136</v>
      </c>
      <c r="G158" s="122" t="s">
        <v>137</v>
      </c>
      <c r="H158" s="122" t="s">
        <v>138</v>
      </c>
      <c r="I158" s="123">
        <v>388652</v>
      </c>
      <c r="J158" s="123" t="s">
        <v>70</v>
      </c>
      <c r="K158" s="124">
        <v>2</v>
      </c>
      <c r="L158" s="122" t="s">
        <v>139</v>
      </c>
      <c r="M158" s="122" t="s">
        <v>72</v>
      </c>
      <c r="N158" s="122" t="str">
        <f t="shared" si="7"/>
        <v>18.25m³-15H-2OP</v>
      </c>
    </row>
    <row r="159" spans="6:14" s="122" customFormat="1" x14ac:dyDescent="0.2">
      <c r="F159" s="122" t="s">
        <v>140</v>
      </c>
      <c r="G159" s="122" t="s">
        <v>141</v>
      </c>
      <c r="H159" s="122" t="s">
        <v>142</v>
      </c>
      <c r="I159" s="123">
        <v>323189</v>
      </c>
      <c r="J159" s="123" t="s">
        <v>70</v>
      </c>
      <c r="K159" s="124">
        <v>1</v>
      </c>
      <c r="L159" s="122" t="s">
        <v>143</v>
      </c>
      <c r="M159" s="122" t="s">
        <v>72</v>
      </c>
      <c r="N159" s="122" t="str">
        <f t="shared" si="7"/>
        <v>19.25m³-15H-1OP</v>
      </c>
    </row>
    <row r="160" spans="6:14" s="122" customFormat="1" x14ac:dyDescent="0.2">
      <c r="F160" s="122" t="s">
        <v>144</v>
      </c>
      <c r="G160" s="122" t="s">
        <v>145</v>
      </c>
      <c r="H160" s="122" t="s">
        <v>146</v>
      </c>
      <c r="I160" s="123">
        <v>256051</v>
      </c>
      <c r="J160" s="123" t="s">
        <v>70</v>
      </c>
      <c r="K160" s="124">
        <v>0</v>
      </c>
      <c r="L160" s="122" t="s">
        <v>147</v>
      </c>
      <c r="M160" s="122" t="s">
        <v>72</v>
      </c>
      <c r="N160" s="122" t="str">
        <f t="shared" si="7"/>
        <v>20.25m³-15H-0OP</v>
      </c>
    </row>
    <row r="161" spans="6:14" s="122" customFormat="1" x14ac:dyDescent="0.2">
      <c r="F161" s="122" t="s">
        <v>148</v>
      </c>
      <c r="G161" s="122" t="s">
        <v>149</v>
      </c>
      <c r="H161" s="122" t="s">
        <v>150</v>
      </c>
      <c r="I161" s="123">
        <v>433978</v>
      </c>
      <c r="J161" s="123" t="s">
        <v>91</v>
      </c>
      <c r="K161" s="124">
        <v>4</v>
      </c>
      <c r="L161" s="122" t="s">
        <v>151</v>
      </c>
      <c r="M161" s="122" t="s">
        <v>72</v>
      </c>
      <c r="N161" s="122" t="str">
        <f t="shared" si="7"/>
        <v>21.25m³-9H-4OP</v>
      </c>
    </row>
    <row r="162" spans="6:14" s="122" customFormat="1" x14ac:dyDescent="0.2">
      <c r="F162" s="122" t="s">
        <v>152</v>
      </c>
      <c r="G162" s="122" t="s">
        <v>153</v>
      </c>
      <c r="H162" s="122" t="s">
        <v>154</v>
      </c>
      <c r="I162" s="123">
        <v>386383</v>
      </c>
      <c r="J162" s="123" t="s">
        <v>91</v>
      </c>
      <c r="K162" s="124">
        <v>3</v>
      </c>
      <c r="L162" s="122" t="s">
        <v>155</v>
      </c>
      <c r="M162" s="122" t="s">
        <v>72</v>
      </c>
      <c r="N162" s="122" t="str">
        <f t="shared" si="7"/>
        <v>22.25m³-9H-3OP</v>
      </c>
    </row>
    <row r="163" spans="6:14" s="122" customFormat="1" x14ac:dyDescent="0.2">
      <c r="F163" s="122" t="s">
        <v>156</v>
      </c>
      <c r="G163" s="122" t="s">
        <v>157</v>
      </c>
      <c r="H163" s="122" t="s">
        <v>158</v>
      </c>
      <c r="I163" s="123">
        <v>345928</v>
      </c>
      <c r="J163" s="123" t="s">
        <v>91</v>
      </c>
      <c r="K163" s="124">
        <v>2</v>
      </c>
      <c r="L163" s="122" t="s">
        <v>159</v>
      </c>
      <c r="M163" s="122" t="s">
        <v>72</v>
      </c>
      <c r="N163" s="122" t="str">
        <f t="shared" si="7"/>
        <v>23.25m³-9H-2OP</v>
      </c>
    </row>
    <row r="164" spans="6:14" s="122" customFormat="1" x14ac:dyDescent="0.2">
      <c r="F164" s="122" t="s">
        <v>160</v>
      </c>
      <c r="G164" s="122" t="s">
        <v>161</v>
      </c>
      <c r="H164" s="122" t="s">
        <v>162</v>
      </c>
      <c r="I164" s="123">
        <v>290841</v>
      </c>
      <c r="J164" s="123" t="s">
        <v>91</v>
      </c>
      <c r="K164" s="124">
        <v>1</v>
      </c>
      <c r="L164" s="122" t="s">
        <v>163</v>
      </c>
      <c r="M164" s="122" t="s">
        <v>72</v>
      </c>
      <c r="N164" s="122" t="str">
        <f t="shared" si="7"/>
        <v>24.25m³-9H-1OP</v>
      </c>
    </row>
    <row r="165" spans="6:14" s="122" customFormat="1" x14ac:dyDescent="0.2">
      <c r="F165" s="122" t="s">
        <v>164</v>
      </c>
      <c r="G165" s="122" t="s">
        <v>165</v>
      </c>
      <c r="H165" s="122" t="s">
        <v>166</v>
      </c>
      <c r="I165" s="123">
        <v>225849</v>
      </c>
      <c r="J165" s="123" t="s">
        <v>91</v>
      </c>
      <c r="K165" s="124">
        <v>0</v>
      </c>
      <c r="L165" s="122" t="s">
        <v>167</v>
      </c>
      <c r="M165" s="122" t="s">
        <v>72</v>
      </c>
      <c r="N165" s="122" t="str">
        <f t="shared" si="7"/>
        <v>25.25m³-9H-0OP</v>
      </c>
    </row>
    <row r="166" spans="6:14" s="122" customFormat="1" x14ac:dyDescent="0.2">
      <c r="F166" s="122" t="s">
        <v>168</v>
      </c>
      <c r="G166" s="122" t="s">
        <v>169</v>
      </c>
      <c r="H166" s="122" t="s">
        <v>170</v>
      </c>
      <c r="I166" s="123">
        <v>374201</v>
      </c>
      <c r="J166" s="123" t="s">
        <v>112</v>
      </c>
      <c r="K166" s="124">
        <v>4</v>
      </c>
      <c r="L166" s="122" t="s">
        <v>171</v>
      </c>
      <c r="M166" s="122" t="s">
        <v>72</v>
      </c>
      <c r="N166" s="122" t="str">
        <f t="shared" si="7"/>
        <v>26.25m³-4H-4OP</v>
      </c>
    </row>
    <row r="167" spans="6:14" s="122" customFormat="1" x14ac:dyDescent="0.2">
      <c r="F167" s="122" t="s">
        <v>172</v>
      </c>
      <c r="G167" s="122" t="s">
        <v>173</v>
      </c>
      <c r="H167" s="122" t="s">
        <v>174</v>
      </c>
      <c r="I167" s="123">
        <v>323876</v>
      </c>
      <c r="J167" s="123" t="s">
        <v>112</v>
      </c>
      <c r="K167" s="124">
        <v>3</v>
      </c>
      <c r="L167" s="122" t="s">
        <v>175</v>
      </c>
      <c r="M167" s="122" t="s">
        <v>72</v>
      </c>
      <c r="N167" s="122" t="str">
        <f t="shared" si="7"/>
        <v>27.25m³-4H-3OP</v>
      </c>
    </row>
    <row r="168" spans="6:14" s="122" customFormat="1" x14ac:dyDescent="0.2">
      <c r="F168" s="122" t="s">
        <v>176</v>
      </c>
      <c r="G168" s="122" t="s">
        <v>177</v>
      </c>
      <c r="H168" s="122" t="s">
        <v>178</v>
      </c>
      <c r="I168" s="123">
        <v>283531</v>
      </c>
      <c r="J168" s="123" t="s">
        <v>112</v>
      </c>
      <c r="K168" s="124">
        <v>2</v>
      </c>
      <c r="L168" s="122" t="s">
        <v>179</v>
      </c>
      <c r="M168" s="122" t="s">
        <v>72</v>
      </c>
      <c r="N168" s="122" t="str">
        <f t="shared" si="7"/>
        <v>28.25m³-4H-2OP</v>
      </c>
    </row>
    <row r="169" spans="6:14" s="122" customFormat="1" x14ac:dyDescent="0.2">
      <c r="F169" s="122" t="s">
        <v>180</v>
      </c>
      <c r="G169" s="122" t="s">
        <v>181</v>
      </c>
      <c r="H169" s="122" t="s">
        <v>182</v>
      </c>
      <c r="I169" s="123">
        <v>236854</v>
      </c>
      <c r="J169" s="123" t="s">
        <v>112</v>
      </c>
      <c r="K169" s="124">
        <v>1</v>
      </c>
      <c r="L169" s="122" t="s">
        <v>183</v>
      </c>
      <c r="M169" s="122" t="s">
        <v>72</v>
      </c>
      <c r="N169" s="122" t="str">
        <f t="shared" si="7"/>
        <v>29.25m³-4H-1OP</v>
      </c>
    </row>
    <row r="170" spans="6:14" s="122" customFormat="1" x14ac:dyDescent="0.2">
      <c r="F170" s="122" t="s">
        <v>184</v>
      </c>
      <c r="G170" s="122" t="s">
        <v>185</v>
      </c>
      <c r="H170" s="122" t="s">
        <v>186</v>
      </c>
      <c r="I170" s="123">
        <v>179940</v>
      </c>
      <c r="J170" s="123" t="s">
        <v>112</v>
      </c>
      <c r="K170" s="124">
        <v>0</v>
      </c>
      <c r="L170" s="122" t="s">
        <v>187</v>
      </c>
      <c r="M170" s="122" t="s">
        <v>72</v>
      </c>
      <c r="N170" s="122" t="str">
        <f t="shared" si="7"/>
        <v>30.25m³-4H-0OP</v>
      </c>
    </row>
    <row r="171" spans="6:14" s="122" customFormat="1" x14ac:dyDescent="0.2">
      <c r="F171" s="122" t="s">
        <v>188</v>
      </c>
      <c r="G171" s="122" t="s">
        <v>189</v>
      </c>
      <c r="H171" s="122" t="s">
        <v>23</v>
      </c>
      <c r="I171" s="123">
        <v>239262</v>
      </c>
      <c r="J171" s="123" t="s">
        <v>70</v>
      </c>
      <c r="K171" s="124">
        <v>0</v>
      </c>
      <c r="L171" s="122" t="s">
        <v>190</v>
      </c>
      <c r="M171" s="122" t="s">
        <v>72</v>
      </c>
      <c r="N171" s="122" t="str">
        <f t="shared" si="7"/>
        <v>31.FURGON-15H</v>
      </c>
    </row>
    <row r="172" spans="6:14" s="122" customFormat="1" x14ac:dyDescent="0.2">
      <c r="F172" s="122" t="s">
        <v>191</v>
      </c>
      <c r="G172" s="122" t="s">
        <v>192</v>
      </c>
      <c r="H172" s="122" t="s">
        <v>193</v>
      </c>
      <c r="I172" s="123">
        <v>214754</v>
      </c>
      <c r="J172" s="123" t="s">
        <v>91</v>
      </c>
      <c r="K172" s="124">
        <v>0</v>
      </c>
      <c r="L172" s="122" t="s">
        <v>194</v>
      </c>
      <c r="M172" s="122" t="s">
        <v>72</v>
      </c>
      <c r="N172" s="122" t="str">
        <f t="shared" si="7"/>
        <v>32.FURGON-9H</v>
      </c>
    </row>
    <row r="173" spans="6:14" s="122" customFormat="1" x14ac:dyDescent="0.2">
      <c r="F173" s="122" t="s">
        <v>195</v>
      </c>
      <c r="G173" s="122" t="s">
        <v>196</v>
      </c>
      <c r="H173" s="122" t="s">
        <v>197</v>
      </c>
      <c r="I173" s="123">
        <v>173120</v>
      </c>
      <c r="J173" s="123" t="s">
        <v>112</v>
      </c>
      <c r="K173" s="124">
        <v>0</v>
      </c>
      <c r="L173" s="122" t="s">
        <v>198</v>
      </c>
      <c r="M173" s="122" t="s">
        <v>72</v>
      </c>
      <c r="N173" s="122" t="str">
        <f t="shared" si="7"/>
        <v>33.FURGON-4H</v>
      </c>
    </row>
    <row r="174" spans="6:14" s="122" customFormat="1" x14ac:dyDescent="0.2">
      <c r="F174" s="122" t="s">
        <v>199</v>
      </c>
      <c r="G174" s="122" t="s">
        <v>200</v>
      </c>
      <c r="H174" s="122" t="s">
        <v>41</v>
      </c>
      <c r="I174" s="123">
        <v>373234</v>
      </c>
      <c r="J174" s="123" t="s">
        <v>70</v>
      </c>
      <c r="K174" s="124">
        <v>0</v>
      </c>
      <c r="L174" s="122" t="s">
        <v>201</v>
      </c>
      <c r="M174" s="122" t="s">
        <v>72</v>
      </c>
      <c r="N174" s="122" t="str">
        <f t="shared" si="7"/>
        <v>34.4X4-15H</v>
      </c>
    </row>
    <row r="175" spans="6:14" s="122" customFormat="1" x14ac:dyDescent="0.2">
      <c r="F175" s="122" t="s">
        <v>202</v>
      </c>
      <c r="G175" s="122" t="s">
        <v>203</v>
      </c>
      <c r="H175" s="122" t="s">
        <v>204</v>
      </c>
      <c r="I175" s="123">
        <v>242399</v>
      </c>
      <c r="J175" s="123" t="s">
        <v>91</v>
      </c>
      <c r="K175" s="124">
        <v>0</v>
      </c>
      <c r="L175" s="122" t="s">
        <v>205</v>
      </c>
      <c r="M175" s="122" t="s">
        <v>72</v>
      </c>
      <c r="N175" s="122" t="str">
        <f t="shared" si="7"/>
        <v>35.4X4-9H</v>
      </c>
    </row>
    <row r="176" spans="6:14" s="122" customFormat="1" x14ac:dyDescent="0.2">
      <c r="F176" s="122" t="s">
        <v>206</v>
      </c>
      <c r="G176" s="122" t="s">
        <v>207</v>
      </c>
      <c r="H176" s="122" t="s">
        <v>208</v>
      </c>
      <c r="I176" s="123">
        <v>195220</v>
      </c>
      <c r="J176" s="123" t="s">
        <v>112</v>
      </c>
      <c r="K176" s="124">
        <v>0</v>
      </c>
      <c r="L176" s="122" t="s">
        <v>209</v>
      </c>
      <c r="M176" s="122" t="s">
        <v>72</v>
      </c>
      <c r="N176" s="122" t="str">
        <f t="shared" si="7"/>
        <v>36.4X4-4H</v>
      </c>
    </row>
    <row r="177" spans="6:14" s="122" customFormat="1" x14ac:dyDescent="0.2">
      <c r="F177" s="122" t="s">
        <v>210</v>
      </c>
      <c r="G177" s="122" t="s">
        <v>211</v>
      </c>
      <c r="H177" s="122" t="s">
        <v>212</v>
      </c>
      <c r="I177" s="123">
        <v>836001</v>
      </c>
      <c r="J177" s="123" t="s">
        <v>70</v>
      </c>
      <c r="K177" s="124">
        <v>0</v>
      </c>
      <c r="L177" s="122" t="s">
        <v>213</v>
      </c>
      <c r="M177" s="122" t="s">
        <v>72</v>
      </c>
      <c r="N177" s="122" t="str">
        <f t="shared" si="7"/>
        <v>37.MONTACARGA-15H</v>
      </c>
    </row>
    <row r="178" spans="6:14" s="122" customFormat="1" x14ac:dyDescent="0.2">
      <c r="F178" s="122" t="s">
        <v>214</v>
      </c>
      <c r="G178" s="122" t="s">
        <v>215</v>
      </c>
      <c r="H178" s="122" t="s">
        <v>216</v>
      </c>
      <c r="I178" s="123">
        <v>144356</v>
      </c>
      <c r="J178" s="123" t="s">
        <v>217</v>
      </c>
      <c r="K178" s="124">
        <v>0</v>
      </c>
      <c r="L178" s="122" t="s">
        <v>218</v>
      </c>
      <c r="M178" s="122" t="s">
        <v>72</v>
      </c>
      <c r="N178" s="122" t="str">
        <f t="shared" si="7"/>
        <v>38.MONTACARGA-1H</v>
      </c>
    </row>
    <row r="179" spans="6:14" s="122" customFormat="1" x14ac:dyDescent="0.2">
      <c r="F179" s="122" t="s">
        <v>219</v>
      </c>
      <c r="G179" s="122" t="s">
        <v>220</v>
      </c>
      <c r="H179" s="122" t="s">
        <v>221</v>
      </c>
      <c r="I179" s="123">
        <v>828620</v>
      </c>
      <c r="J179" s="123" t="s">
        <v>70</v>
      </c>
      <c r="K179" s="124">
        <v>0</v>
      </c>
      <c r="L179" s="122" t="s">
        <v>222</v>
      </c>
      <c r="M179" s="122" t="s">
        <v>72</v>
      </c>
      <c r="N179" s="122" t="str">
        <f t="shared" si="7"/>
        <v>39.GRUA-15H-</v>
      </c>
    </row>
    <row r="180" spans="6:14" s="122" customFormat="1" x14ac:dyDescent="0.2">
      <c r="F180" s="122" t="s">
        <v>223</v>
      </c>
      <c r="G180" s="122" t="s">
        <v>224</v>
      </c>
      <c r="H180" s="122" t="s">
        <v>225</v>
      </c>
      <c r="I180" s="123">
        <v>148058</v>
      </c>
      <c r="J180" s="123" t="s">
        <v>217</v>
      </c>
      <c r="K180" s="124">
        <v>0</v>
      </c>
      <c r="L180" s="122" t="s">
        <v>226</v>
      </c>
      <c r="M180" s="122" t="s">
        <v>72</v>
      </c>
      <c r="N180" s="122" t="str">
        <f t="shared" si="7"/>
        <v>40.GRUA-1H</v>
      </c>
    </row>
    <row r="181" spans="6:14" s="122" customFormat="1" x14ac:dyDescent="0.2">
      <c r="F181" s="122" t="s">
        <v>227</v>
      </c>
      <c r="G181" s="122" t="s">
        <v>228</v>
      </c>
      <c r="H181" s="122" t="s">
        <v>36</v>
      </c>
      <c r="I181" s="123">
        <v>53577</v>
      </c>
      <c r="J181" s="123" t="s">
        <v>217</v>
      </c>
      <c r="K181" s="124">
        <v>0</v>
      </c>
      <c r="L181" s="122" t="s">
        <v>229</v>
      </c>
      <c r="M181" s="122" t="s">
        <v>72</v>
      </c>
      <c r="N181" s="122" t="str">
        <f t="shared" si="7"/>
        <v>41.OPERARIO-8-H</v>
      </c>
    </row>
    <row r="182" spans="6:14" s="122" customFormat="1" x14ac:dyDescent="0.2">
      <c r="F182" s="122" t="s">
        <v>230</v>
      </c>
      <c r="G182" s="122" t="s">
        <v>231</v>
      </c>
      <c r="H182" s="122" t="s">
        <v>232</v>
      </c>
      <c r="I182" s="123">
        <v>41562</v>
      </c>
      <c r="J182" s="123" t="s">
        <v>217</v>
      </c>
      <c r="K182" s="124">
        <v>0</v>
      </c>
      <c r="L182" s="122" t="s">
        <v>233</v>
      </c>
      <c r="M182" s="122" t="s">
        <v>72</v>
      </c>
      <c r="N182" s="122" t="str">
        <f t="shared" si="7"/>
        <v>42.OPERARIO-6-H</v>
      </c>
    </row>
    <row r="183" spans="6:14" s="122" customFormat="1" x14ac:dyDescent="0.2">
      <c r="F183" s="122" t="s">
        <v>234</v>
      </c>
      <c r="G183" s="122" t="s">
        <v>235</v>
      </c>
      <c r="H183" s="122" t="s">
        <v>236</v>
      </c>
      <c r="I183" s="123">
        <v>628232</v>
      </c>
      <c r="N183" s="122" t="str">
        <f t="shared" si="7"/>
        <v>43.BOGOTA-REGION-40m³-</v>
      </c>
    </row>
    <row r="184" spans="6:14" s="122" customFormat="1" x14ac:dyDescent="0.2">
      <c r="F184" s="122" t="s">
        <v>237</v>
      </c>
      <c r="G184" s="122" t="s">
        <v>238</v>
      </c>
      <c r="H184" s="122" t="s">
        <v>239</v>
      </c>
      <c r="I184" s="123">
        <v>562619</v>
      </c>
      <c r="N184" s="122" t="str">
        <f t="shared" si="7"/>
        <v>44.BOGOTA-REGION-25m³-</v>
      </c>
    </row>
    <row r="185" spans="6:14" s="122" customFormat="1" x14ac:dyDescent="0.2">
      <c r="F185" s="122" t="s">
        <v>240</v>
      </c>
      <c r="G185" s="122" t="s">
        <v>241</v>
      </c>
      <c r="H185" s="122" t="s">
        <v>242</v>
      </c>
      <c r="I185" s="123">
        <v>418264</v>
      </c>
      <c r="N185" s="122" t="str">
        <f t="shared" si="7"/>
        <v>45.BOGOTA-REGION-FURGON-</v>
      </c>
    </row>
    <row r="186" spans="6:14" s="122" customFormat="1" x14ac:dyDescent="0.2">
      <c r="F186" s="122" t="s">
        <v>243</v>
      </c>
      <c r="G186" s="122" t="s">
        <v>244</v>
      </c>
      <c r="H186" s="122" t="s">
        <v>245</v>
      </c>
      <c r="I186" s="123">
        <v>288714</v>
      </c>
      <c r="N186" s="122" t="str">
        <f t="shared" si="7"/>
        <v>46.BOGOTA-REGION-4X4</v>
      </c>
    </row>
    <row r="187" spans="6:14" x14ac:dyDescent="0.2">
      <c r="H187" s="122" t="s">
        <v>246</v>
      </c>
      <c r="I187" s="123">
        <f>41562*6</f>
        <v>249372</v>
      </c>
      <c r="J187" s="123" t="s">
        <v>217</v>
      </c>
      <c r="N187" s="3" t="str">
        <f t="shared" si="7"/>
        <v/>
      </c>
    </row>
    <row r="188" spans="6:14" x14ac:dyDescent="0.2">
      <c r="H188" s="122" t="s">
        <v>247</v>
      </c>
      <c r="I188" s="123">
        <f>41562*8</f>
        <v>332496</v>
      </c>
      <c r="J188" s="123" t="s">
        <v>217</v>
      </c>
    </row>
    <row r="189" spans="6:14" x14ac:dyDescent="0.2">
      <c r="H189" s="122" t="s">
        <v>248</v>
      </c>
      <c r="I189" s="123">
        <f>41562*8</f>
        <v>332496</v>
      </c>
      <c r="J189" s="123" t="s">
        <v>217</v>
      </c>
    </row>
    <row r="190" spans="6:14" x14ac:dyDescent="0.2">
      <c r="H190" s="122" t="s">
        <v>249</v>
      </c>
      <c r="I190" s="123">
        <f>53577*10</f>
        <v>535770</v>
      </c>
      <c r="J190" s="123" t="s">
        <v>217</v>
      </c>
    </row>
    <row r="191" spans="6:14" x14ac:dyDescent="0.2">
      <c r="H191" s="122" t="s">
        <v>250</v>
      </c>
      <c r="I191" s="123">
        <f>53577*8</f>
        <v>428616</v>
      </c>
      <c r="J191" s="123" t="s">
        <v>217</v>
      </c>
    </row>
    <row r="192" spans="6:14" x14ac:dyDescent="0.2">
      <c r="H192" s="122" t="s">
        <v>251</v>
      </c>
      <c r="I192" s="123">
        <f>53577*10</f>
        <v>535770</v>
      </c>
      <c r="J192" s="123" t="s">
        <v>217</v>
      </c>
    </row>
  </sheetData>
  <sheetProtection selectLockedCells="1" selectUnlockedCells="1"/>
  <mergeCells count="23">
    <mergeCell ref="A94:A96"/>
    <mergeCell ref="R13:Y13"/>
    <mergeCell ref="A74:AE80"/>
    <mergeCell ref="A83:A85"/>
    <mergeCell ref="A89:A91"/>
    <mergeCell ref="B89:B91"/>
    <mergeCell ref="A73:AE73"/>
    <mergeCell ref="A14:G14"/>
    <mergeCell ref="I16:P16"/>
    <mergeCell ref="R18:Y18"/>
    <mergeCell ref="A24:G24"/>
    <mergeCell ref="A25:G25"/>
    <mergeCell ref="A33:G33"/>
    <mergeCell ref="A42:G42"/>
    <mergeCell ref="A43:G43"/>
    <mergeCell ref="J47:P66"/>
    <mergeCell ref="R2:Y2"/>
    <mergeCell ref="AA2:AE2"/>
    <mergeCell ref="A53:G53"/>
    <mergeCell ref="K71:L71"/>
    <mergeCell ref="A1:G1"/>
    <mergeCell ref="A2:G2"/>
    <mergeCell ref="I2:P2"/>
  </mergeCells>
  <dataValidations count="4">
    <dataValidation type="list" allowBlank="1" showInputMessage="1" showErrorMessage="1" sqref="F4:F11 O4:O8 X4:X6 F55:F64 O18:O19 X15:X16 F16 F35:F39 F27:F30 X20:X26" xr:uid="{2C16BC7D-4074-1041-83FC-8BCE057D8539}">
      <formula1>$H$140:$H$192</formula1>
    </dataValidation>
    <dataValidation type="list" allowBlank="1" showInputMessage="1" showErrorMessage="1" sqref="F20:F22 F12:F13" xr:uid="{4880C9CF-E97E-734C-BCCE-A8F62AF8BEEB}">
      <formula1>$H$141:$H$186</formula1>
    </dataValidation>
    <dataValidation type="list" allowBlank="1" showInputMessage="1" showErrorMessage="1" sqref="O9:O15 O20:O25 F47:F52 F17:F19 F31:F32 X7:X8 F65" xr:uid="{7D1CF624-E3EC-2E45-AF08-73104D47DB54}">
      <formula1>$H$140:$H$186</formula1>
    </dataValidation>
    <dataValidation type="list" allowBlank="1" showInputMessage="1" showErrorMessage="1" sqref="F40" xr:uid="{28C8B6F5-D5AD-CE44-92B9-FEFC27AE35C2}">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9B321-409F-4342-95C9-D590CA0CCA9E}">
  <sheetPr>
    <tabColor rgb="FFFF0000"/>
  </sheetPr>
  <dimension ref="A1:AE192"/>
  <sheetViews>
    <sheetView view="pageBreakPreview" topLeftCell="J50" zoomScaleNormal="59" zoomScaleSheetLayoutView="100" workbookViewId="0">
      <selection activeCell="P71" sqref="P71"/>
    </sheetView>
  </sheetViews>
  <sheetFormatPr baseColWidth="10" defaultColWidth="11.42578125" defaultRowHeight="12.75" x14ac:dyDescent="0.2"/>
  <cols>
    <col min="1" max="1" width="58.42578125" style="3" customWidth="1"/>
    <col min="2" max="2" width="27.42578125" style="3" customWidth="1"/>
    <col min="3" max="3" width="20.85546875" style="3" customWidth="1"/>
    <col min="4" max="5" width="44.4257812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51.42578125" style="3" customWidth="1"/>
    <col min="16" max="16" width="29.28515625" style="3" customWidth="1"/>
    <col min="17" max="17" width="23.85546875" style="3" customWidth="1"/>
    <col min="18" max="18" width="18.140625" style="3" customWidth="1"/>
    <col min="19" max="19" width="36.42578125" style="3" customWidth="1"/>
    <col min="20" max="20" width="20.28515625" style="3" customWidth="1"/>
    <col min="21" max="21" width="19" style="3" customWidth="1"/>
    <col min="22" max="23" width="25.42578125" style="3" customWidth="1"/>
    <col min="24" max="24" width="59.2851562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379" t="s">
        <v>0</v>
      </c>
      <c r="B1" s="379"/>
      <c r="C1" s="379"/>
      <c r="D1" s="379"/>
      <c r="E1" s="379"/>
      <c r="F1" s="379"/>
      <c r="G1" s="379"/>
      <c r="H1" s="2"/>
      <c r="I1" s="2"/>
      <c r="J1" s="2"/>
      <c r="K1" s="2"/>
      <c r="L1" s="2"/>
      <c r="M1" s="2"/>
      <c r="N1" s="2"/>
      <c r="O1" s="2"/>
      <c r="P1" s="2"/>
      <c r="Q1" s="2"/>
      <c r="R1" s="2"/>
      <c r="S1" s="2"/>
      <c r="T1" s="2"/>
      <c r="U1" s="2"/>
      <c r="V1" s="2"/>
      <c r="W1" s="2"/>
      <c r="X1" s="2"/>
      <c r="Y1" s="2"/>
    </row>
    <row r="2" spans="1:31" ht="15.75" x14ac:dyDescent="0.2">
      <c r="A2" s="379" t="s">
        <v>1</v>
      </c>
      <c r="B2" s="379"/>
      <c r="C2" s="379"/>
      <c r="D2" s="379"/>
      <c r="E2" s="379"/>
      <c r="F2" s="379"/>
      <c r="G2" s="379"/>
      <c r="H2" s="2"/>
      <c r="I2" s="355" t="s">
        <v>2</v>
      </c>
      <c r="J2" s="356"/>
      <c r="K2" s="356"/>
      <c r="L2" s="356"/>
      <c r="M2" s="356"/>
      <c r="N2" s="356"/>
      <c r="O2" s="356"/>
      <c r="P2" s="358"/>
      <c r="Q2" s="2"/>
      <c r="R2" s="355" t="s">
        <v>3</v>
      </c>
      <c r="S2" s="356"/>
      <c r="T2" s="356"/>
      <c r="U2" s="356"/>
      <c r="V2" s="356"/>
      <c r="W2" s="356"/>
      <c r="X2" s="356"/>
      <c r="Y2" s="358"/>
      <c r="AA2" s="375"/>
      <c r="AB2" s="375"/>
      <c r="AC2" s="375"/>
      <c r="AD2" s="375"/>
      <c r="AE2" s="375"/>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7" t="s">
        <v>11</v>
      </c>
      <c r="S3" s="7" t="s">
        <v>4</v>
      </c>
      <c r="T3" s="8" t="s">
        <v>5</v>
      </c>
      <c r="U3" s="8" t="s">
        <v>6</v>
      </c>
      <c r="V3" s="8" t="s">
        <v>7</v>
      </c>
      <c r="W3" s="8" t="s">
        <v>8</v>
      </c>
      <c r="X3" s="8" t="s">
        <v>9</v>
      </c>
      <c r="Y3" s="8" t="s">
        <v>10</v>
      </c>
      <c r="AA3" s="4"/>
      <c r="AB3" s="9"/>
      <c r="AC3" s="9"/>
      <c r="AD3" s="9"/>
      <c r="AE3" s="9"/>
    </row>
    <row r="4" spans="1:31" ht="15.75" x14ac:dyDescent="0.25">
      <c r="A4" s="10" t="s">
        <v>12</v>
      </c>
      <c r="B4" s="11" t="str">
        <f t="shared" ref="B4:B11" si="0">+IF(F4=0,0,MID(F4,LEN(F4)-3,1))</f>
        <v>2</v>
      </c>
      <c r="C4" s="12">
        <v>1</v>
      </c>
      <c r="D4" s="12" t="s">
        <v>13</v>
      </c>
      <c r="E4" s="13" t="str">
        <f t="shared" ref="E4:E11" si="1">+IF(F4=0,0,CONCATENATE(MID(F4,FIND("-",F4,1)+1,4),"ORAS"))</f>
        <v>15 HORAS</v>
      </c>
      <c r="F4" s="14" t="s">
        <v>78</v>
      </c>
      <c r="G4" s="316">
        <f>+IF(F4="","",VLOOKUP(F4,$H$140:$I$192,2,FALSE))</f>
        <v>448638</v>
      </c>
      <c r="H4" s="2"/>
      <c r="I4" s="15" t="s">
        <v>15</v>
      </c>
      <c r="J4" s="14" t="s">
        <v>16</v>
      </c>
      <c r="K4" s="16">
        <v>3</v>
      </c>
      <c r="L4" s="17">
        <v>1</v>
      </c>
      <c r="M4" s="18" t="s">
        <v>13</v>
      </c>
      <c r="N4" s="13" t="str">
        <f>+IF(O4=0,0,CONCATENATE(MID(O4,FIND("-",O4,1)+1,4),"ORAS"))</f>
        <v>15 HORAS</v>
      </c>
      <c r="O4" s="14" t="s">
        <v>17</v>
      </c>
      <c r="P4" s="308">
        <f>+IF(O4="","",VLOOKUP(O4,$H$140:$I$192,2,FALSE))</f>
        <v>443323</v>
      </c>
      <c r="Q4" s="2"/>
      <c r="R4" s="15" t="s">
        <v>15</v>
      </c>
      <c r="S4" s="20" t="s">
        <v>18</v>
      </c>
      <c r="T4" s="16" t="str">
        <f>+IF(X4=0,0,MID(X4,LEN(X4)-3,1))</f>
        <v>4</v>
      </c>
      <c r="U4" s="329">
        <v>1</v>
      </c>
      <c r="V4" s="22" t="s">
        <v>13</v>
      </c>
      <c r="W4" s="13" t="str">
        <f>+IF(X4=0,0,CONCATENATE(MID(X4,FIND("-",X4,1)+1,4),"ORAS"))</f>
        <v>15 HORAS</v>
      </c>
      <c r="X4" s="14" t="s">
        <v>19</v>
      </c>
      <c r="Y4" s="308">
        <f>+IF(X4="","",VLOOKUP(X4,$H$140:$I$192,2,FALSE))</f>
        <v>501739</v>
      </c>
      <c r="AA4" s="23"/>
      <c r="AB4" s="24"/>
      <c r="AC4" s="24"/>
      <c r="AD4" s="25"/>
      <c r="AE4" s="26"/>
    </row>
    <row r="5" spans="1:31" ht="15.75" x14ac:dyDescent="0.25">
      <c r="A5" s="14" t="s">
        <v>20</v>
      </c>
      <c r="B5" s="11" t="str">
        <f t="shared" si="0"/>
        <v>3</v>
      </c>
      <c r="C5" s="18">
        <v>1</v>
      </c>
      <c r="D5" s="18" t="s">
        <v>13</v>
      </c>
      <c r="E5" s="13" t="str">
        <f t="shared" si="1"/>
        <v>15 HORAS</v>
      </c>
      <c r="F5" s="14" t="s">
        <v>21</v>
      </c>
      <c r="G5" s="308">
        <f>+IF(F5="","",VLOOKUP(F5,$H$140:I$192,2,FALSE))</f>
        <v>514916</v>
      </c>
      <c r="H5" s="2"/>
      <c r="I5" s="15" t="s">
        <v>15</v>
      </c>
      <c r="J5" s="14" t="s">
        <v>22</v>
      </c>
      <c r="K5" s="16">
        <v>0</v>
      </c>
      <c r="L5" s="17">
        <v>1</v>
      </c>
      <c r="M5" s="18" t="s">
        <v>13</v>
      </c>
      <c r="N5" s="13" t="str">
        <f>+IF(O5=0,0,CONCATENATE(MID(O5,FIND("-",O5,1)+1,4),"ORAS"))</f>
        <v>15 HORAS</v>
      </c>
      <c r="O5" s="14" t="s">
        <v>23</v>
      </c>
      <c r="P5" s="308">
        <f>+IF(O5="","",VLOOKUP(O5,$H$140:$I$192,2,FALSE))</f>
        <v>239262</v>
      </c>
      <c r="Q5" s="2"/>
      <c r="R5" s="15" t="s">
        <v>15</v>
      </c>
      <c r="S5" s="20" t="s">
        <v>24</v>
      </c>
      <c r="T5" s="16" t="str">
        <f>+IF(X5=0,0,MID(X5,LEN(X5)-3,1))</f>
        <v>4</v>
      </c>
      <c r="U5" s="329">
        <v>1</v>
      </c>
      <c r="V5" s="22" t="s">
        <v>13</v>
      </c>
      <c r="W5" s="13" t="str">
        <f>+IF(X5=0,0,CONCATENATE(MID(X5,FIND("-",X5,1)+1,4),"ORAS"))</f>
        <v>15 HORAS</v>
      </c>
      <c r="X5" s="14" t="s">
        <v>19</v>
      </c>
      <c r="Y5" s="308">
        <f>+IF(X5="","",VLOOKUP(X5,$H$140:$I$192,2,FALSE))</f>
        <v>501739</v>
      </c>
      <c r="AA5" s="23"/>
      <c r="AB5" s="24"/>
      <c r="AC5" s="24"/>
      <c r="AD5" s="25"/>
      <c r="AE5" s="26"/>
    </row>
    <row r="6" spans="1:31" ht="15.75" x14ac:dyDescent="0.25">
      <c r="A6" s="14" t="s">
        <v>25</v>
      </c>
      <c r="B6" s="11" t="str">
        <f t="shared" si="0"/>
        <v>3</v>
      </c>
      <c r="C6" s="18">
        <v>1</v>
      </c>
      <c r="D6" s="18" t="s">
        <v>13</v>
      </c>
      <c r="E6" s="13" t="str">
        <f t="shared" si="1"/>
        <v>15 HORAS</v>
      </c>
      <c r="F6" s="14" t="s">
        <v>21</v>
      </c>
      <c r="G6" s="308">
        <f>+IF(F6="","",VLOOKUP(F6,$H$140:I$192,2,FALSE))</f>
        <v>514916</v>
      </c>
      <c r="H6" s="2"/>
      <c r="I6" s="15" t="s">
        <v>15</v>
      </c>
      <c r="J6" s="14" t="s">
        <v>252</v>
      </c>
      <c r="K6" s="16">
        <v>4</v>
      </c>
      <c r="L6" s="17">
        <v>1</v>
      </c>
      <c r="M6" s="18" t="s">
        <v>13</v>
      </c>
      <c r="N6" s="13" t="str">
        <f>+IF(O6=0,0,CONCATENATE(MID(O6,FIND("-",O6,1)+1,4),"ORAS"))</f>
        <v>15 HORAS</v>
      </c>
      <c r="O6" s="14" t="s">
        <v>19</v>
      </c>
      <c r="P6" s="308">
        <f>+IF(O6="","",VLOOKUP(O6,$H$140:$I$192,2,FALSE))</f>
        <v>501739</v>
      </c>
      <c r="Q6" s="2"/>
      <c r="R6" s="15" t="s">
        <v>15</v>
      </c>
      <c r="S6" s="20" t="s">
        <v>26</v>
      </c>
      <c r="T6" s="16" t="str">
        <f>+IF(X6=0,0,MID(X6,LEN(X6)-3,1))</f>
        <v>4</v>
      </c>
      <c r="U6" s="329">
        <v>1</v>
      </c>
      <c r="V6" s="22" t="s">
        <v>13</v>
      </c>
      <c r="W6" s="13" t="str">
        <f>+IF(X6=0,0,CONCATENATE(MID(X6,FIND("-",X6,1)+1,4),"ORAS"))</f>
        <v>15 HORAS</v>
      </c>
      <c r="X6" s="14" t="s">
        <v>19</v>
      </c>
      <c r="Y6" s="308">
        <f>+IF(X6="","",VLOOKUP(X6,$H$140:$I$192,2,FALSE))</f>
        <v>501739</v>
      </c>
      <c r="AA6" s="23"/>
      <c r="AB6" s="24"/>
      <c r="AC6" s="24"/>
      <c r="AD6" s="25"/>
      <c r="AE6" s="26"/>
    </row>
    <row r="7" spans="1:31" ht="15.75" x14ac:dyDescent="0.25">
      <c r="A7" s="14" t="s">
        <v>27</v>
      </c>
      <c r="B7" s="11" t="str">
        <f t="shared" si="0"/>
        <v>3</v>
      </c>
      <c r="C7" s="18">
        <v>1</v>
      </c>
      <c r="D7" s="18" t="s">
        <v>13</v>
      </c>
      <c r="E7" s="13" t="str">
        <f t="shared" si="1"/>
        <v>15 HORAS</v>
      </c>
      <c r="F7" s="14" t="s">
        <v>21</v>
      </c>
      <c r="G7" s="308">
        <f>+IF(F7="","",VLOOKUP(F7,$H$140:I$192,2,FALSE))</f>
        <v>514916</v>
      </c>
      <c r="H7" s="2"/>
      <c r="I7" s="15" t="s">
        <v>15</v>
      </c>
      <c r="J7" s="14" t="s">
        <v>346</v>
      </c>
      <c r="K7" s="16">
        <v>4</v>
      </c>
      <c r="L7" s="17">
        <v>1</v>
      </c>
      <c r="M7" s="18" t="s">
        <v>13</v>
      </c>
      <c r="N7" s="13" t="str">
        <f>+IF(O7=0,0,CONCATENATE(MID(O7,FIND("-",O7,1)+1,4),"ORAS"))</f>
        <v>15 HORAS</v>
      </c>
      <c r="O7" s="14" t="s">
        <v>14</v>
      </c>
      <c r="P7" s="308">
        <f>+IF(O7="","",VLOOKUP(O7,$H$140:$I$192,2,FALSE))</f>
        <v>582964</v>
      </c>
      <c r="Q7" s="2"/>
      <c r="R7" s="27"/>
      <c r="S7" s="330"/>
      <c r="T7" s="16"/>
      <c r="U7" s="331"/>
      <c r="V7" s="12"/>
      <c r="W7" s="13"/>
      <c r="X7" s="14">
        <v>0</v>
      </c>
      <c r="Y7" s="30">
        <f>+IF(X7="","",VLOOKUP(X7,$H$140:$I$186,2,FALSE))</f>
        <v>0</v>
      </c>
      <c r="AA7" s="23"/>
      <c r="AB7" s="23"/>
      <c r="AC7" s="23"/>
      <c r="AD7" s="23"/>
      <c r="AE7" s="23"/>
    </row>
    <row r="8" spans="1:31" ht="15.75" x14ac:dyDescent="0.25">
      <c r="A8" s="14" t="s">
        <v>28</v>
      </c>
      <c r="B8" s="11" t="str">
        <f t="shared" si="0"/>
        <v>3</v>
      </c>
      <c r="C8" s="18">
        <v>1</v>
      </c>
      <c r="D8" s="18" t="s">
        <v>13</v>
      </c>
      <c r="E8" s="13" t="str">
        <f t="shared" si="1"/>
        <v>15 HORAS</v>
      </c>
      <c r="F8" s="14" t="s">
        <v>21</v>
      </c>
      <c r="G8" s="308">
        <f>+IF(F8="","",VLOOKUP(F8,$H$140:I$192,2,FALSE))</f>
        <v>514916</v>
      </c>
      <c r="H8" s="2"/>
      <c r="I8" s="15"/>
      <c r="J8" s="14"/>
      <c r="K8" s="16"/>
      <c r="L8" s="17"/>
      <c r="M8" s="18"/>
      <c r="N8" s="13"/>
      <c r="O8" s="14">
        <v>0</v>
      </c>
      <c r="P8" s="19">
        <f>+IF(O8="","",VLOOKUP(O8,$H$140:$I$192,2,FALSE))</f>
        <v>0</v>
      </c>
      <c r="Q8" s="2"/>
      <c r="R8" s="15"/>
      <c r="S8" s="332"/>
      <c r="T8" s="329"/>
      <c r="U8" s="329">
        <f>+U4+U5+U6+U7</f>
        <v>3</v>
      </c>
      <c r="V8" s="18"/>
      <c r="W8" s="14"/>
      <c r="X8" s="14"/>
      <c r="Y8" s="32"/>
      <c r="AA8" s="23"/>
      <c r="AB8" s="23"/>
      <c r="AC8" s="23"/>
      <c r="AD8" s="23"/>
      <c r="AE8" s="23"/>
    </row>
    <row r="9" spans="1:31" ht="15.75" x14ac:dyDescent="0.25">
      <c r="A9" s="33" t="s">
        <v>29</v>
      </c>
      <c r="B9" s="11" t="str">
        <f t="shared" si="0"/>
        <v>3</v>
      </c>
      <c r="C9" s="18">
        <v>1</v>
      </c>
      <c r="D9" s="18" t="s">
        <v>13</v>
      </c>
      <c r="E9" s="13" t="str">
        <f t="shared" si="1"/>
        <v>15 HORAS</v>
      </c>
      <c r="F9" s="14" t="s">
        <v>21</v>
      </c>
      <c r="G9" s="308">
        <f>+IF(F9="","",VLOOKUP(F9,$H$140:I$192,2,FALSE))</f>
        <v>514916</v>
      </c>
      <c r="H9" s="2"/>
      <c r="I9" s="34"/>
      <c r="J9" s="14"/>
      <c r="K9" s="16"/>
      <c r="L9" s="35"/>
      <c r="M9" s="35"/>
      <c r="N9" s="14"/>
      <c r="O9" s="14"/>
      <c r="P9" s="36"/>
      <c r="Q9" s="2"/>
      <c r="R9" s="37"/>
      <c r="S9" s="333"/>
      <c r="T9" s="333"/>
      <c r="U9" s="333"/>
      <c r="V9" s="39"/>
      <c r="W9" s="39"/>
      <c r="X9" s="39"/>
      <c r="Y9" s="2"/>
      <c r="AA9" s="23"/>
      <c r="AB9" s="23"/>
      <c r="AC9" s="23"/>
      <c r="AD9" s="23"/>
      <c r="AE9" s="23"/>
    </row>
    <row r="10" spans="1:31" ht="15.75" x14ac:dyDescent="0.25">
      <c r="A10" s="33" t="s">
        <v>30</v>
      </c>
      <c r="B10" s="11" t="str">
        <f t="shared" si="0"/>
        <v>4</v>
      </c>
      <c r="C10" s="18">
        <v>1</v>
      </c>
      <c r="D10" s="18" t="s">
        <v>13</v>
      </c>
      <c r="E10" s="13" t="str">
        <f t="shared" si="1"/>
        <v>15 HORAS</v>
      </c>
      <c r="F10" s="14" t="s">
        <v>14</v>
      </c>
      <c r="G10" s="308">
        <f>+IF(F10="","",VLOOKUP(F10,$H$140:I$192,2,FALSE))</f>
        <v>582964</v>
      </c>
      <c r="H10" s="2"/>
      <c r="I10" s="34"/>
      <c r="J10" s="14"/>
      <c r="K10" s="16"/>
      <c r="L10" s="35"/>
      <c r="M10" s="35"/>
      <c r="N10" s="14"/>
      <c r="O10" s="14"/>
      <c r="P10" s="36"/>
      <c r="Q10" s="2"/>
      <c r="R10" s="37"/>
      <c r="S10" s="333"/>
      <c r="T10" s="333"/>
      <c r="U10" s="333"/>
      <c r="V10" s="39"/>
      <c r="W10" s="39"/>
      <c r="X10" s="39"/>
      <c r="Y10" s="2"/>
      <c r="AA10" s="23"/>
      <c r="AB10" s="23"/>
      <c r="AC10" s="23"/>
      <c r="AD10" s="23"/>
      <c r="AE10" s="23"/>
    </row>
    <row r="11" spans="1:31" ht="15.75" x14ac:dyDescent="0.25">
      <c r="A11" s="33" t="s">
        <v>31</v>
      </c>
      <c r="B11" s="11" t="str">
        <f t="shared" si="0"/>
        <v>4</v>
      </c>
      <c r="C11" s="12">
        <v>1</v>
      </c>
      <c r="D11" s="12" t="s">
        <v>13</v>
      </c>
      <c r="E11" s="13" t="str">
        <f t="shared" si="1"/>
        <v>15 HORAS</v>
      </c>
      <c r="F11" s="14" t="s">
        <v>14</v>
      </c>
      <c r="G11" s="308">
        <f>+IF(F11="","",VLOOKUP(F11,$H$140:$I$192,2,FALSE))</f>
        <v>582964</v>
      </c>
      <c r="H11" s="2"/>
      <c r="I11" s="34"/>
      <c r="J11" s="14"/>
      <c r="K11" s="16"/>
      <c r="L11" s="35"/>
      <c r="M11" s="35"/>
      <c r="N11" s="14"/>
      <c r="O11" s="14"/>
      <c r="P11" s="40"/>
      <c r="Q11" s="2"/>
      <c r="R11" s="37"/>
      <c r="S11" s="333"/>
      <c r="T11" s="333"/>
      <c r="U11" s="333"/>
      <c r="V11" s="39"/>
      <c r="W11" s="39"/>
      <c r="X11" s="39"/>
      <c r="Y11" s="2"/>
      <c r="AA11" s="23"/>
      <c r="AB11" s="23"/>
      <c r="AC11" s="23"/>
      <c r="AD11" s="23"/>
      <c r="AE11" s="23"/>
    </row>
    <row r="12" spans="1:31" ht="15.75" x14ac:dyDescent="0.25">
      <c r="A12" s="41"/>
      <c r="B12" s="11"/>
      <c r="C12" s="18"/>
      <c r="D12" s="18"/>
      <c r="E12" s="13"/>
      <c r="F12" s="14"/>
      <c r="G12" s="19"/>
      <c r="H12" s="2"/>
      <c r="I12" s="34"/>
      <c r="J12" s="14"/>
      <c r="K12" s="16"/>
      <c r="L12" s="35"/>
      <c r="M12" s="35"/>
      <c r="N12" s="14"/>
      <c r="O12" s="14"/>
      <c r="P12" s="40"/>
      <c r="Q12" s="2"/>
      <c r="R12" s="37"/>
      <c r="S12" s="333"/>
      <c r="T12" s="333"/>
      <c r="U12" s="333"/>
      <c r="V12" s="39"/>
      <c r="W12" s="39"/>
      <c r="X12" s="39"/>
      <c r="Y12" s="2"/>
      <c r="AA12" s="23"/>
      <c r="AB12" s="23"/>
      <c r="AC12" s="23"/>
      <c r="AD12" s="23"/>
      <c r="AE12" s="23"/>
    </row>
    <row r="13" spans="1:31" ht="15.75" x14ac:dyDescent="0.25">
      <c r="A13" s="42"/>
      <c r="B13" s="11">
        <f>+B10+B9+B8+B7+B6+B5+B4+B11</f>
        <v>25</v>
      </c>
      <c r="C13" s="11">
        <f>+C10+C9+C8+C7+C6+C5+C4</f>
        <v>7</v>
      </c>
      <c r="D13" s="43"/>
      <c r="E13" s="43"/>
      <c r="F13" s="14"/>
      <c r="G13" s="44">
        <f>SUM(G4:G12)</f>
        <v>4189146</v>
      </c>
      <c r="H13" s="2"/>
      <c r="I13" s="34"/>
      <c r="J13" s="14"/>
      <c r="K13" s="16"/>
      <c r="L13" s="17"/>
      <c r="M13" s="35"/>
      <c r="N13" s="14"/>
      <c r="O13" s="14"/>
      <c r="P13" s="45"/>
      <c r="Q13" s="2"/>
      <c r="R13" s="355" t="s">
        <v>32</v>
      </c>
      <c r="S13" s="356"/>
      <c r="T13" s="356"/>
      <c r="U13" s="356"/>
      <c r="V13" s="357"/>
      <c r="W13" s="357"/>
      <c r="X13" s="357"/>
      <c r="Y13" s="358"/>
      <c r="AA13" s="23"/>
      <c r="AB13" s="23"/>
      <c r="AC13" s="23"/>
      <c r="AD13" s="23"/>
      <c r="AE13" s="23"/>
    </row>
    <row r="14" spans="1:31" ht="16.5" customHeight="1" x14ac:dyDescent="0.25">
      <c r="A14" s="368" t="s">
        <v>33</v>
      </c>
      <c r="B14" s="368"/>
      <c r="C14" s="368"/>
      <c r="D14" s="368"/>
      <c r="E14" s="368"/>
      <c r="F14" s="368"/>
      <c r="G14" s="368"/>
      <c r="H14" s="2"/>
      <c r="I14" s="34"/>
      <c r="J14" s="14"/>
      <c r="K14" s="16"/>
      <c r="L14" s="17"/>
      <c r="M14" s="35"/>
      <c r="N14" s="14"/>
      <c r="O14" s="14"/>
      <c r="P14" s="46"/>
      <c r="Q14" s="2"/>
      <c r="R14" s="7" t="s">
        <v>11</v>
      </c>
      <c r="S14" s="7" t="s">
        <v>4</v>
      </c>
      <c r="T14" s="8" t="s">
        <v>5</v>
      </c>
      <c r="U14" s="8" t="s">
        <v>6</v>
      </c>
      <c r="V14" s="8" t="s">
        <v>7</v>
      </c>
      <c r="W14" s="8" t="s">
        <v>8</v>
      </c>
      <c r="X14" s="8" t="s">
        <v>9</v>
      </c>
      <c r="Y14" s="8" t="s">
        <v>10</v>
      </c>
      <c r="Z14" s="47"/>
    </row>
    <row r="15" spans="1:31" ht="15.75" x14ac:dyDescent="0.2">
      <c r="A15" s="1" t="s">
        <v>4</v>
      </c>
      <c r="B15" s="5" t="s">
        <v>5</v>
      </c>
      <c r="C15" s="5" t="s">
        <v>6</v>
      </c>
      <c r="D15" s="5" t="s">
        <v>7</v>
      </c>
      <c r="E15" s="5" t="s">
        <v>8</v>
      </c>
      <c r="F15" s="48" t="s">
        <v>9</v>
      </c>
      <c r="G15" s="5" t="s">
        <v>10</v>
      </c>
      <c r="H15" s="2"/>
      <c r="I15" s="42"/>
      <c r="J15" s="42"/>
      <c r="K15" s="42"/>
      <c r="L15" s="42"/>
      <c r="M15" s="42"/>
      <c r="N15" s="14"/>
      <c r="O15" s="14"/>
      <c r="P15" s="49"/>
      <c r="Q15" s="2"/>
      <c r="R15" s="50" t="s">
        <v>15</v>
      </c>
      <c r="S15" s="20" t="s">
        <v>34</v>
      </c>
      <c r="T15" s="16">
        <v>2</v>
      </c>
      <c r="U15" s="20">
        <v>0</v>
      </c>
      <c r="V15" s="20" t="s">
        <v>35</v>
      </c>
      <c r="W15" s="13" t="str">
        <f>+IF(X15=0,0,CONCATENATE(MID(X15,FIND("-",X15,1)+1,4),"ORAS"))</f>
        <v>08 HORAS</v>
      </c>
      <c r="X15" s="14" t="s">
        <v>36</v>
      </c>
      <c r="Y15" s="335">
        <f>+(IF(X15="","",VLOOKUP(X15,$H$140:$I$192,2,FALSE)))*T15</f>
        <v>107154</v>
      </c>
    </row>
    <row r="16" spans="1:31" ht="18.75" customHeight="1" x14ac:dyDescent="0.2">
      <c r="A16" s="33"/>
      <c r="B16" s="51">
        <f>+IF(F16=0,0,MID(F16,LEN(F16)-3,1))</f>
        <v>0</v>
      </c>
      <c r="C16" s="331"/>
      <c r="D16" s="12"/>
      <c r="E16" s="13">
        <f>+IF(F16=0,0,CONCATENATE(MID(F16,FIND("-",F16,1)+1,4),"ORAS"))</f>
        <v>0</v>
      </c>
      <c r="F16" s="14">
        <v>0</v>
      </c>
      <c r="G16" s="19">
        <f>+IF(F16="","",VLOOKUP(F16,$H$140:I$192,2,FALSE))</f>
        <v>0</v>
      </c>
      <c r="H16" s="2"/>
      <c r="I16" s="369" t="s">
        <v>37</v>
      </c>
      <c r="J16" s="357"/>
      <c r="K16" s="357"/>
      <c r="L16" s="357"/>
      <c r="M16" s="357"/>
      <c r="N16" s="357"/>
      <c r="O16" s="357"/>
      <c r="P16" s="370"/>
      <c r="Q16" s="2"/>
      <c r="R16" s="50" t="s">
        <v>15</v>
      </c>
      <c r="S16" s="20" t="s">
        <v>38</v>
      </c>
      <c r="T16" s="16">
        <v>2</v>
      </c>
      <c r="U16" s="20">
        <v>0</v>
      </c>
      <c r="V16" s="20" t="s">
        <v>35</v>
      </c>
      <c r="W16" s="14" t="str">
        <f>+IF(X16=0,0,CONCATENATE(MID(X16,FIND("-",X16,1)+1,4),"ORAS"))</f>
        <v>08 HORAS</v>
      </c>
      <c r="X16" s="14" t="s">
        <v>36</v>
      </c>
      <c r="Y16" s="336">
        <f>+(IF(X16="","",VLOOKUP(X16,$H$140:$I$192,2,FALSE)))*T16</f>
        <v>107154</v>
      </c>
    </row>
    <row r="17" spans="1:31" ht="23.25" customHeight="1" x14ac:dyDescent="0.2">
      <c r="A17" s="52"/>
      <c r="B17" s="16"/>
      <c r="C17" s="329"/>
      <c r="D17" s="18"/>
      <c r="E17" s="14"/>
      <c r="F17" s="14"/>
      <c r="G17" s="30"/>
      <c r="H17" s="2"/>
      <c r="I17" s="7" t="s">
        <v>11</v>
      </c>
      <c r="J17" s="7" t="s">
        <v>4</v>
      </c>
      <c r="K17" s="8" t="s">
        <v>5</v>
      </c>
      <c r="L17" s="8" t="s">
        <v>6</v>
      </c>
      <c r="M17" s="8" t="s">
        <v>7</v>
      </c>
      <c r="N17" s="8" t="s">
        <v>8</v>
      </c>
      <c r="O17" s="8" t="s">
        <v>9</v>
      </c>
      <c r="P17" s="8" t="s">
        <v>10</v>
      </c>
      <c r="Q17" s="2"/>
      <c r="R17" s="2"/>
      <c r="S17" s="2"/>
      <c r="T17" s="2"/>
      <c r="U17" s="2"/>
      <c r="V17" s="2"/>
      <c r="W17" s="2"/>
      <c r="X17" s="2"/>
      <c r="Y17" s="2"/>
    </row>
    <row r="18" spans="1:31" ht="15.75" x14ac:dyDescent="0.25">
      <c r="A18" s="52"/>
      <c r="B18" s="16"/>
      <c r="C18" s="329"/>
      <c r="D18" s="18"/>
      <c r="E18" s="14"/>
      <c r="F18" s="14"/>
      <c r="G18" s="30"/>
      <c r="H18" s="2"/>
      <c r="I18" s="15"/>
      <c r="J18" s="14"/>
      <c r="K18" s="16"/>
      <c r="L18" s="17"/>
      <c r="M18" s="18"/>
      <c r="N18" s="13">
        <f>+IF(O18=0,0,CONCATENATE(MID(O18,FIND("-",O18,1)+1,4),"ORAS"))</f>
        <v>0</v>
      </c>
      <c r="O18" s="14">
        <v>0</v>
      </c>
      <c r="P18" s="19">
        <f>+IF(O18="","",VLOOKUP(O18,$H$140:$I$192,2,FALSE))</f>
        <v>0</v>
      </c>
      <c r="Q18" s="2"/>
      <c r="R18" s="355" t="s">
        <v>39</v>
      </c>
      <c r="S18" s="356"/>
      <c r="T18" s="356"/>
      <c r="U18" s="356"/>
      <c r="V18" s="356"/>
      <c r="W18" s="356"/>
      <c r="X18" s="356"/>
      <c r="Y18" s="358"/>
    </row>
    <row r="19" spans="1:31" ht="15.75" x14ac:dyDescent="0.25">
      <c r="A19" s="53"/>
      <c r="B19" s="16"/>
      <c r="C19" s="18"/>
      <c r="D19" s="18"/>
      <c r="E19" s="14"/>
      <c r="F19" s="14"/>
      <c r="G19" s="30"/>
      <c r="H19" s="2"/>
      <c r="I19" s="15"/>
      <c r="J19" s="14"/>
      <c r="K19" s="16"/>
      <c r="L19" s="54"/>
      <c r="M19" s="55"/>
      <c r="N19" s="13"/>
      <c r="O19" s="14">
        <v>0</v>
      </c>
      <c r="P19" s="19">
        <f>+IF(O19="","",VLOOKUP(O19,$H$140:$I$192,2,FALSE))</f>
        <v>0</v>
      </c>
      <c r="Q19" s="2"/>
      <c r="R19" s="7" t="s">
        <v>11</v>
      </c>
      <c r="S19" s="7" t="s">
        <v>4</v>
      </c>
      <c r="T19" s="8" t="s">
        <v>5</v>
      </c>
      <c r="U19" s="8" t="s">
        <v>6</v>
      </c>
      <c r="V19" s="8" t="s">
        <v>7</v>
      </c>
      <c r="W19" s="8" t="s">
        <v>8</v>
      </c>
      <c r="X19" s="8" t="s">
        <v>9</v>
      </c>
      <c r="Y19" s="8" t="s">
        <v>10</v>
      </c>
      <c r="AA19" s="23"/>
      <c r="AB19" s="23"/>
      <c r="AC19" s="23"/>
      <c r="AD19" s="23"/>
      <c r="AE19" s="23"/>
    </row>
    <row r="20" spans="1:31" ht="15.75" x14ac:dyDescent="0.25">
      <c r="A20" s="56"/>
      <c r="B20" s="16"/>
      <c r="C20" s="57"/>
      <c r="D20" s="57"/>
      <c r="E20" s="14"/>
      <c r="F20" s="14"/>
      <c r="G20" s="30"/>
      <c r="H20" s="2"/>
      <c r="I20" s="34"/>
      <c r="J20" s="13"/>
      <c r="K20" s="16"/>
      <c r="L20" s="58"/>
      <c r="M20" s="22"/>
      <c r="N20" s="13"/>
      <c r="O20" s="14"/>
      <c r="P20" s="59"/>
      <c r="Q20" s="2"/>
      <c r="R20" s="5" t="s">
        <v>40</v>
      </c>
      <c r="S20" s="20" t="s">
        <v>34</v>
      </c>
      <c r="T20" s="16" t="s">
        <v>35</v>
      </c>
      <c r="U20" s="20" t="s">
        <v>35</v>
      </c>
      <c r="V20" s="12" t="s">
        <v>13</v>
      </c>
      <c r="W20" s="13" t="str">
        <f>+IF(X20=0,0,CONCATENATE(MID(X20,FIND("-",X20,1)+1,4),"ORAS"))</f>
        <v>15 HORAS</v>
      </c>
      <c r="X20" s="14" t="s">
        <v>41</v>
      </c>
      <c r="Y20" s="337">
        <f>+IF(X20="","",VLOOKUP(X20,$H$140:$I$192,2,FALSE))</f>
        <v>373234</v>
      </c>
      <c r="AA20" s="23"/>
      <c r="AB20" s="23"/>
      <c r="AC20" s="23"/>
      <c r="AD20" s="23"/>
      <c r="AE20" s="23"/>
    </row>
    <row r="21" spans="1:31" ht="15.75" x14ac:dyDescent="0.25">
      <c r="A21" s="56"/>
      <c r="B21" s="16"/>
      <c r="C21" s="57"/>
      <c r="D21" s="57"/>
      <c r="E21" s="14"/>
      <c r="F21" s="14"/>
      <c r="G21" s="30"/>
      <c r="H21" s="2"/>
      <c r="I21" s="34"/>
      <c r="J21" s="13"/>
      <c r="K21" s="16"/>
      <c r="L21" s="58"/>
      <c r="M21" s="22"/>
      <c r="N21" s="13"/>
      <c r="O21" s="14"/>
      <c r="P21" s="59"/>
      <c r="Q21" s="2"/>
      <c r="R21" s="324" t="s">
        <v>40</v>
      </c>
      <c r="S21" s="20" t="s">
        <v>34</v>
      </c>
      <c r="T21" s="16" t="s">
        <v>35</v>
      </c>
      <c r="U21" s="20" t="s">
        <v>35</v>
      </c>
      <c r="V21" s="12" t="s">
        <v>13</v>
      </c>
      <c r="W21" s="13" t="str">
        <f>+IF(X21=0,0,CONCATENATE(MID(X21,FIND("-",X21,1)+1,4),"ORAS"))</f>
        <v>15 HORAS</v>
      </c>
      <c r="X21" s="14" t="s">
        <v>41</v>
      </c>
      <c r="Y21" s="337">
        <f>+IF(X21="","",VLOOKUP(X21,$H$140:$I$192,2,FALSE))</f>
        <v>373234</v>
      </c>
      <c r="AA21" s="23"/>
      <c r="AB21" s="23"/>
      <c r="AC21" s="23"/>
      <c r="AD21" s="23"/>
      <c r="AE21" s="23"/>
    </row>
    <row r="22" spans="1:31" ht="15.75" x14ac:dyDescent="0.25">
      <c r="A22" s="56"/>
      <c r="B22" s="16"/>
      <c r="C22" s="57"/>
      <c r="D22" s="57"/>
      <c r="E22" s="14"/>
      <c r="F22" s="57"/>
      <c r="G22" s="30"/>
      <c r="H22" s="2"/>
      <c r="I22" s="34"/>
      <c r="J22" s="13"/>
      <c r="K22" s="16"/>
      <c r="L22" s="58"/>
      <c r="M22" s="22"/>
      <c r="N22" s="13"/>
      <c r="O22" s="14"/>
      <c r="P22" s="59"/>
      <c r="Q22" s="2"/>
      <c r="R22" s="50" t="s">
        <v>15</v>
      </c>
      <c r="S22" s="20" t="s">
        <v>34</v>
      </c>
      <c r="T22" s="16" t="s">
        <v>35</v>
      </c>
      <c r="U22" s="20">
        <v>1</v>
      </c>
      <c r="V22" s="12" t="s">
        <v>13</v>
      </c>
      <c r="W22" s="13" t="str">
        <f>+IF(X22=0,0,CONCATENATE(MID(X22,FIND("-",X22,1)+1,4),"ORAS"))</f>
        <v>15 HORAS</v>
      </c>
      <c r="X22" s="14" t="s">
        <v>23</v>
      </c>
      <c r="Y22" s="337">
        <f>+IF(X22="","",VLOOKUP(X22,$H$140:$I$192,2,FALSE))</f>
        <v>239262</v>
      </c>
      <c r="AA22" s="23"/>
      <c r="AB22" s="23"/>
      <c r="AC22" s="23"/>
      <c r="AD22" s="23"/>
      <c r="AE22" s="23"/>
    </row>
    <row r="23" spans="1:31" ht="15.75" x14ac:dyDescent="0.25">
      <c r="A23" s="60" t="s">
        <v>42</v>
      </c>
      <c r="B23" s="61">
        <f>SUM(B4:B13)+B16+B17+B18+B19+B20+B22</f>
        <v>25</v>
      </c>
      <c r="C23" s="61">
        <f>+C4+C5+C6+C7+C8+C9+C10+C16</f>
        <v>7</v>
      </c>
      <c r="D23" s="62"/>
      <c r="E23" s="63"/>
      <c r="F23" s="62"/>
      <c r="G23" s="44">
        <f>SUM(G13,G16:G22)</f>
        <v>4189146</v>
      </c>
      <c r="H23" s="2"/>
      <c r="I23" s="34"/>
      <c r="J23" s="14"/>
      <c r="K23" s="16"/>
      <c r="L23" s="54"/>
      <c r="M23" s="54"/>
      <c r="N23" s="13"/>
      <c r="O23" s="14"/>
      <c r="P23" s="59"/>
      <c r="Q23" s="2"/>
      <c r="R23" s="50" t="s">
        <v>15</v>
      </c>
      <c r="S23" s="20" t="s">
        <v>34</v>
      </c>
      <c r="T23" s="16" t="s">
        <v>35</v>
      </c>
      <c r="U23" s="20" t="s">
        <v>35</v>
      </c>
      <c r="V23" s="18" t="s">
        <v>13</v>
      </c>
      <c r="W23" s="14" t="str">
        <f>+IF(X23=0,0,CONCATENATE(MID(X23,FIND("-",X23,1)+1,4),"ORAS"))</f>
        <v>15 HORAS</v>
      </c>
      <c r="X23" s="14" t="s">
        <v>41</v>
      </c>
      <c r="Y23" s="337">
        <f>+IF(X23="","",VLOOKUP(X23,$H$140:$I$192,2,FALSE))</f>
        <v>373234</v>
      </c>
      <c r="AA23" s="23"/>
      <c r="AB23" s="23"/>
      <c r="AC23" s="23"/>
      <c r="AD23" s="23"/>
      <c r="AE23" s="23"/>
    </row>
    <row r="24" spans="1:31" ht="15.75" x14ac:dyDescent="0.25">
      <c r="A24" s="371" t="s">
        <v>43</v>
      </c>
      <c r="B24" s="371"/>
      <c r="C24" s="371"/>
      <c r="D24" s="371"/>
      <c r="E24" s="371"/>
      <c r="F24" s="371"/>
      <c r="G24" s="371"/>
      <c r="H24" s="2"/>
      <c r="I24" s="65"/>
      <c r="J24" s="14"/>
      <c r="K24" s="16"/>
      <c r="L24" s="54"/>
      <c r="M24" s="22"/>
      <c r="N24" s="13"/>
      <c r="O24" s="14"/>
      <c r="P24" s="66"/>
      <c r="Q24" s="2"/>
      <c r="R24" s="67" t="s">
        <v>44</v>
      </c>
      <c r="S24" s="20" t="s">
        <v>34</v>
      </c>
      <c r="T24" s="16" t="s">
        <v>35</v>
      </c>
      <c r="U24" s="20" t="s">
        <v>35</v>
      </c>
      <c r="V24" s="18" t="s">
        <v>13</v>
      </c>
      <c r="W24" s="14" t="str">
        <f>+IF(X24=0,0,CONCATENATE(MID(X24,FIND("-",X24,1)+1,4),"ORAS"))</f>
        <v>15 HORAS</v>
      </c>
      <c r="X24" s="14" t="s">
        <v>41</v>
      </c>
      <c r="Y24" s="336">
        <f>+IF(X24="","",VLOOKUP(X24,$H$140:$I$192,2,FALSE))</f>
        <v>373234</v>
      </c>
      <c r="AA24" s="23"/>
      <c r="AB24" s="23"/>
      <c r="AC24" s="23"/>
      <c r="AD24" s="23"/>
      <c r="AE24" s="23"/>
    </row>
    <row r="25" spans="1:31" ht="15.75" x14ac:dyDescent="0.25">
      <c r="A25" s="371" t="s">
        <v>1</v>
      </c>
      <c r="B25" s="371"/>
      <c r="C25" s="371"/>
      <c r="D25" s="371"/>
      <c r="E25" s="371"/>
      <c r="F25" s="371"/>
      <c r="G25" s="371"/>
      <c r="H25" s="2"/>
      <c r="I25" s="34"/>
      <c r="J25" s="68"/>
      <c r="K25" s="16"/>
      <c r="L25" s="35"/>
      <c r="M25" s="35"/>
      <c r="N25" s="14"/>
      <c r="O25" s="14"/>
      <c r="P25" s="69"/>
      <c r="Q25" s="2"/>
      <c r="R25" s="2"/>
      <c r="S25" s="2"/>
      <c r="T25" s="2"/>
      <c r="U25" s="2"/>
      <c r="V25" s="2"/>
      <c r="W25" s="2"/>
      <c r="X25" s="2"/>
      <c r="Y25" s="2"/>
      <c r="AA25" s="23"/>
      <c r="AB25" s="23"/>
      <c r="AC25" s="23"/>
      <c r="AD25" s="23"/>
      <c r="AE25" s="23"/>
    </row>
    <row r="26" spans="1:31" ht="15.75" x14ac:dyDescent="0.2">
      <c r="A26" s="64" t="s">
        <v>4</v>
      </c>
      <c r="B26" s="70" t="s">
        <v>5</v>
      </c>
      <c r="C26" s="70" t="s">
        <v>6</v>
      </c>
      <c r="D26" s="70" t="s">
        <v>7</v>
      </c>
      <c r="E26" s="70" t="s">
        <v>8</v>
      </c>
      <c r="F26" s="70" t="s">
        <v>9</v>
      </c>
      <c r="G26" s="70" t="s">
        <v>10</v>
      </c>
      <c r="H26" s="2"/>
      <c r="I26" s="2"/>
      <c r="J26" s="71" t="s">
        <v>45</v>
      </c>
      <c r="K26" s="72">
        <f>SUM(K4:K15,K18:K25)</f>
        <v>11</v>
      </c>
      <c r="L26" s="72">
        <f>SUM(L4:L25)</f>
        <v>4</v>
      </c>
      <c r="M26" s="71"/>
      <c r="N26" s="71"/>
      <c r="O26" s="71"/>
      <c r="P26" s="73">
        <f>SUM(P4:P25)</f>
        <v>1767288</v>
      </c>
      <c r="Q26" s="2"/>
      <c r="R26" s="2"/>
      <c r="S26" s="74" t="s">
        <v>45</v>
      </c>
      <c r="T26" s="75">
        <f>T4+T5+T6+T15+T16</f>
        <v>16</v>
      </c>
      <c r="U26" s="75">
        <f>SUM(U4:U7,U22)</f>
        <v>4</v>
      </c>
      <c r="V26" s="74"/>
      <c r="W26" s="74"/>
      <c r="X26" s="74"/>
      <c r="Y26" s="76">
        <f>SUM(Y4:Y24)</f>
        <v>3451723</v>
      </c>
      <c r="AA26" s="77"/>
      <c r="AB26" s="77"/>
      <c r="AC26" s="77"/>
      <c r="AD26" s="77"/>
      <c r="AE26" s="78"/>
    </row>
    <row r="27" spans="1:31" ht="15.75" x14ac:dyDescent="0.2">
      <c r="A27" s="79" t="s">
        <v>46</v>
      </c>
      <c r="B27" s="11" t="str">
        <f>+IF(F27=0,0,MID(F27,LEN(F27)-3,1))</f>
        <v>3</v>
      </c>
      <c r="C27" s="12">
        <v>1</v>
      </c>
      <c r="D27" s="12" t="s">
        <v>13</v>
      </c>
      <c r="E27" s="13" t="str">
        <f>+IF(F27=0,0,CONCATENATE(MID(F27,FIND("-",F27,1)+1,4),"ORAS"))</f>
        <v>15 HORAS</v>
      </c>
      <c r="F27" s="14" t="s">
        <v>21</v>
      </c>
      <c r="G27" s="308">
        <f>+IF(F27="","",VLOOKUP(F27,$H$140:I$192,2,FALSE))</f>
        <v>514916</v>
      </c>
      <c r="H27" s="2"/>
      <c r="I27" s="2"/>
      <c r="J27" s="2"/>
      <c r="K27" s="2"/>
      <c r="L27" s="2"/>
      <c r="M27" s="2"/>
      <c r="N27" s="2"/>
      <c r="O27" s="2"/>
      <c r="P27" s="2"/>
      <c r="Q27" s="2"/>
      <c r="R27" s="2"/>
      <c r="S27" s="2"/>
      <c r="T27" s="2"/>
      <c r="U27" s="2"/>
      <c r="V27" s="2"/>
      <c r="W27" s="2"/>
      <c r="X27" s="2"/>
      <c r="Y27" s="2"/>
      <c r="AA27" s="23"/>
      <c r="AB27" s="23"/>
      <c r="AC27" s="23"/>
      <c r="AD27" s="23"/>
      <c r="AE27" s="23"/>
    </row>
    <row r="28" spans="1:31" ht="20.100000000000001" customHeight="1" x14ac:dyDescent="0.2">
      <c r="A28" s="79" t="s">
        <v>47</v>
      </c>
      <c r="B28" s="51" t="str">
        <f>+IF(F28=0,0,MID(F28,LEN(F28)-3,1))</f>
        <v>4</v>
      </c>
      <c r="C28" s="80">
        <v>1</v>
      </c>
      <c r="D28" s="22" t="s">
        <v>13</v>
      </c>
      <c r="E28" s="13" t="str">
        <f>+IF(F28=0,0,CONCATENATE(MID(F28,FIND("-",F28,1)+1,4),"ORAS"))</f>
        <v>15 HORAS</v>
      </c>
      <c r="F28" s="14" t="s">
        <v>14</v>
      </c>
      <c r="G28" s="308">
        <f>+IF(F28="","",VLOOKUP(F28,$H$140:I$192,2,FALSE))</f>
        <v>582964</v>
      </c>
      <c r="H28" s="2"/>
      <c r="I28" s="2"/>
      <c r="J28" s="2"/>
      <c r="K28" s="2"/>
      <c r="L28" s="2"/>
      <c r="M28" s="2"/>
      <c r="N28" s="2"/>
      <c r="O28" s="2"/>
      <c r="P28" s="2"/>
      <c r="Q28" s="2"/>
      <c r="R28" s="2"/>
      <c r="S28" s="2"/>
      <c r="T28" s="2"/>
      <c r="U28" s="2"/>
      <c r="V28" s="2"/>
      <c r="W28" s="2"/>
      <c r="X28" s="2"/>
      <c r="Y28" s="2"/>
    </row>
    <row r="29" spans="1:31" ht="15.75" customHeight="1" x14ac:dyDescent="0.2">
      <c r="A29" s="79" t="s">
        <v>48</v>
      </c>
      <c r="B29" s="51" t="str">
        <f>+IF(F29=0,0,MID(F29,LEN(F29)-3,1))</f>
        <v>3</v>
      </c>
      <c r="C29" s="80">
        <v>1</v>
      </c>
      <c r="D29" s="22" t="s">
        <v>13</v>
      </c>
      <c r="E29" s="13" t="str">
        <f>+IF(F29=0,0,CONCATENATE(MID(F29,FIND("-",F29,1)+1,4),"ORAS"))</f>
        <v>15 HORAS</v>
      </c>
      <c r="F29" s="14" t="s">
        <v>21</v>
      </c>
      <c r="G29" s="308">
        <f>+IF(F29="","",VLOOKUP(F29,$H$140:I$192,2,FALSE))</f>
        <v>514916</v>
      </c>
      <c r="H29" s="2"/>
      <c r="I29" s="2"/>
      <c r="J29" s="2"/>
      <c r="K29" s="2"/>
      <c r="L29" s="2"/>
      <c r="M29" s="2"/>
      <c r="N29" s="2"/>
      <c r="O29" s="2"/>
      <c r="P29" s="2"/>
      <c r="Q29" s="2"/>
      <c r="R29" s="2"/>
      <c r="S29" s="2"/>
      <c r="T29" s="2"/>
      <c r="U29" s="2"/>
      <c r="V29" s="2"/>
      <c r="W29" s="2"/>
      <c r="X29" s="2"/>
      <c r="Y29" s="2"/>
    </row>
    <row r="30" spans="1:31" ht="15.75" x14ac:dyDescent="0.2">
      <c r="A30" s="79" t="s">
        <v>49</v>
      </c>
      <c r="B30" s="51">
        <v>3</v>
      </c>
      <c r="C30" s="80">
        <v>1</v>
      </c>
      <c r="D30" s="22" t="s">
        <v>13</v>
      </c>
      <c r="E30" s="13" t="str">
        <f t="shared" ref="E30" si="2">+IF(F30=0,0,CONCATENATE(MID(F30,FIND("-",F30,1)+1,4),"ORAS"))</f>
        <v>15 HORAS</v>
      </c>
      <c r="F30" s="14" t="s">
        <v>21</v>
      </c>
      <c r="G30" s="308">
        <f>+IF(F30="","",VLOOKUP(F30,$H$140:I$192,2,FALSE))</f>
        <v>514916</v>
      </c>
      <c r="H30" s="2"/>
      <c r="I30" s="2"/>
      <c r="J30" s="2"/>
      <c r="K30" s="2"/>
      <c r="L30" s="2"/>
      <c r="M30" s="2"/>
      <c r="N30" s="2"/>
      <c r="O30" s="2"/>
      <c r="P30" s="2"/>
      <c r="Q30" s="2"/>
      <c r="R30" s="2"/>
      <c r="S30" s="2"/>
      <c r="T30" s="2"/>
      <c r="U30" s="2"/>
      <c r="V30" s="2"/>
      <c r="W30" s="2"/>
      <c r="X30" s="2"/>
      <c r="Y30" s="2"/>
    </row>
    <row r="31" spans="1:31" ht="15.75" x14ac:dyDescent="0.2">
      <c r="A31" s="81"/>
      <c r="B31" s="51"/>
      <c r="C31" s="80"/>
      <c r="D31" s="22"/>
      <c r="E31" s="13"/>
      <c r="F31" s="57"/>
      <c r="G31" s="19"/>
      <c r="H31" s="2"/>
      <c r="I31" s="2"/>
      <c r="J31" s="2"/>
      <c r="K31" s="2"/>
      <c r="L31" s="2"/>
      <c r="M31" s="2"/>
      <c r="N31" s="2"/>
      <c r="O31" s="2"/>
      <c r="P31" s="2"/>
      <c r="Q31" s="2"/>
      <c r="R31" s="2"/>
      <c r="S31" s="2"/>
      <c r="T31" s="2"/>
      <c r="U31" s="2"/>
      <c r="V31" s="2"/>
      <c r="W31" s="2"/>
      <c r="X31" s="2"/>
      <c r="Y31" s="2"/>
    </row>
    <row r="32" spans="1:31" ht="15.75" x14ac:dyDescent="0.2">
      <c r="A32" s="81"/>
      <c r="B32" s="80"/>
      <c r="C32" s="80"/>
      <c r="D32" s="22"/>
      <c r="E32" s="13"/>
      <c r="F32" s="57"/>
      <c r="G32" s="30"/>
      <c r="H32" s="2"/>
      <c r="I32" s="2"/>
      <c r="J32" s="2"/>
      <c r="K32" s="2"/>
      <c r="L32" s="2"/>
      <c r="M32" s="2"/>
      <c r="N32" s="2"/>
      <c r="O32" s="2"/>
      <c r="P32" s="2"/>
      <c r="Q32" s="2"/>
      <c r="R32" s="2"/>
      <c r="S32" s="2"/>
      <c r="T32" s="2"/>
      <c r="U32" s="2"/>
      <c r="V32" s="2"/>
      <c r="W32" s="2"/>
      <c r="X32" s="2"/>
      <c r="Y32" s="2"/>
    </row>
    <row r="33" spans="1:25" ht="15.75" x14ac:dyDescent="0.2">
      <c r="A33" s="372" t="s">
        <v>33</v>
      </c>
      <c r="B33" s="372"/>
      <c r="C33" s="372"/>
      <c r="D33" s="372"/>
      <c r="E33" s="372"/>
      <c r="F33" s="372"/>
      <c r="G33" s="372"/>
      <c r="H33" s="2"/>
      <c r="I33" s="2"/>
      <c r="J33" s="2"/>
      <c r="K33" s="2"/>
      <c r="L33" s="2"/>
      <c r="M33" s="2"/>
      <c r="N33" s="2"/>
      <c r="O33" s="2"/>
      <c r="P33" s="2"/>
      <c r="Q33" s="2"/>
      <c r="R33" s="2"/>
      <c r="S33" s="2"/>
      <c r="T33" s="2"/>
      <c r="U33" s="2"/>
      <c r="V33" s="2"/>
      <c r="W33" s="2"/>
      <c r="X33" s="2"/>
      <c r="Y33" s="2"/>
    </row>
    <row r="34" spans="1:25" ht="15.75" x14ac:dyDescent="0.2">
      <c r="A34" s="64"/>
      <c r="B34" s="70" t="s">
        <v>5</v>
      </c>
      <c r="C34" s="70" t="s">
        <v>6</v>
      </c>
      <c r="D34" s="70" t="s">
        <v>7</v>
      </c>
      <c r="E34" s="70"/>
      <c r="F34" s="70" t="s">
        <v>9</v>
      </c>
      <c r="G34" s="70" t="s">
        <v>10</v>
      </c>
      <c r="H34" s="2"/>
      <c r="I34" s="2"/>
      <c r="J34" s="2"/>
      <c r="K34" s="2"/>
      <c r="L34" s="2"/>
      <c r="M34" s="2"/>
      <c r="N34" s="2"/>
      <c r="O34" s="2"/>
      <c r="P34" s="2"/>
      <c r="Q34" s="2"/>
      <c r="R34" s="2"/>
      <c r="S34" s="2"/>
      <c r="T34" s="2"/>
      <c r="U34" s="2"/>
      <c r="V34" s="2"/>
      <c r="W34" s="2"/>
      <c r="X34" s="2"/>
      <c r="Y34" s="82"/>
    </row>
    <row r="35" spans="1:25" ht="15.75" x14ac:dyDescent="0.25">
      <c r="A35" s="10" t="s">
        <v>50</v>
      </c>
      <c r="B35" s="51" t="str">
        <f>+IF(F35=0,0,MID(F35,LEN(F35)-3,1))</f>
        <v>3</v>
      </c>
      <c r="C35" s="334">
        <v>1</v>
      </c>
      <c r="D35" s="22" t="s">
        <v>13</v>
      </c>
      <c r="E35" s="13" t="str">
        <f>+IF(F35=0,0,CONCATENATE(MID(F35,FIND("-",F35,1)+1,4),"ORAS"))</f>
        <v>15 HORAS</v>
      </c>
      <c r="F35" s="14" t="s">
        <v>17</v>
      </c>
      <c r="G35" s="308">
        <f>+IF(F35="","",VLOOKUP(F35,$H$140:I$192,2,FALSE))</f>
        <v>443323</v>
      </c>
      <c r="H35" s="2"/>
      <c r="I35" s="2"/>
      <c r="J35" s="2"/>
      <c r="K35" s="2"/>
      <c r="L35" s="2"/>
      <c r="M35" s="2"/>
      <c r="N35" s="2"/>
      <c r="O35" s="2"/>
      <c r="P35" s="2"/>
      <c r="Q35" s="2"/>
      <c r="R35" s="2"/>
      <c r="S35" s="2"/>
      <c r="T35" s="2"/>
      <c r="U35" s="2"/>
      <c r="V35" s="2"/>
      <c r="W35" s="2"/>
      <c r="X35" s="2"/>
      <c r="Y35" s="82"/>
    </row>
    <row r="36" spans="1:25" ht="15.75" x14ac:dyDescent="0.25">
      <c r="A36" s="79" t="s">
        <v>51</v>
      </c>
      <c r="B36" s="51" t="str">
        <f>+IF(F36=0,0,MID(F36,LEN(F36)-3,1))</f>
        <v>3</v>
      </c>
      <c r="C36" s="334">
        <v>1</v>
      </c>
      <c r="D36" s="22" t="s">
        <v>13</v>
      </c>
      <c r="E36" s="13" t="str">
        <f>+IF(F36=0,0,CONCATENATE(MID(F36,FIND("-",F36,1)+1,4),"ORAS"))</f>
        <v>15 HORAS</v>
      </c>
      <c r="F36" s="14" t="s">
        <v>17</v>
      </c>
      <c r="G36" s="308">
        <f>+IF(F36="","",VLOOKUP(F36,$H$140:I$192,2,FALSE))</f>
        <v>443323</v>
      </c>
      <c r="H36" s="2"/>
      <c r="I36" s="2"/>
      <c r="J36" s="2"/>
      <c r="K36" s="2"/>
      <c r="L36" s="2"/>
      <c r="M36" s="2"/>
      <c r="N36" s="2"/>
      <c r="O36" s="2"/>
      <c r="P36" s="2"/>
      <c r="Q36" s="2"/>
      <c r="R36" s="2"/>
      <c r="S36" s="2"/>
      <c r="T36" s="2"/>
      <c r="U36" s="2"/>
      <c r="V36" s="2"/>
      <c r="W36" s="2"/>
      <c r="X36" s="2"/>
      <c r="Y36" s="2"/>
    </row>
    <row r="37" spans="1:25" ht="15.75" x14ac:dyDescent="0.25">
      <c r="A37" s="79" t="s">
        <v>52</v>
      </c>
      <c r="B37" s="51" t="str">
        <f>+IF(F37=0,0,MID(F37,LEN(F37)-3,1))</f>
        <v>3</v>
      </c>
      <c r="C37" s="334">
        <v>1</v>
      </c>
      <c r="D37" s="22" t="s">
        <v>13</v>
      </c>
      <c r="E37" s="13" t="str">
        <f>+IF(F37=0,0,CONCATENATE(MID(F37,FIND("-",F37,1)+1,4),"ORAS"))</f>
        <v>15 HORAS</v>
      </c>
      <c r="F37" s="14" t="s">
        <v>17</v>
      </c>
      <c r="G37" s="308">
        <f>+IF(F37="","",VLOOKUP(F37,$H$140:I$192,2,FALSE))</f>
        <v>443323</v>
      </c>
      <c r="H37" s="2"/>
      <c r="I37" s="2"/>
      <c r="J37" s="2"/>
      <c r="K37" s="2"/>
      <c r="L37" s="2"/>
      <c r="M37" s="2"/>
      <c r="N37" s="2"/>
      <c r="O37" s="2"/>
      <c r="P37" s="2"/>
      <c r="Q37" s="2"/>
      <c r="R37" s="2"/>
      <c r="S37" s="2"/>
      <c r="T37" s="2"/>
      <c r="U37" s="2"/>
      <c r="V37" s="2"/>
      <c r="W37" s="2"/>
      <c r="X37" s="2"/>
      <c r="Y37" s="2"/>
    </row>
    <row r="38" spans="1:25" ht="15.75" x14ac:dyDescent="0.25">
      <c r="A38" s="34" t="s">
        <v>53</v>
      </c>
      <c r="B38" s="51" t="str">
        <f>+IF(F38=0,0,MID(F38,LEN(F38)-3,1))</f>
        <v>3</v>
      </c>
      <c r="C38" s="334">
        <v>1</v>
      </c>
      <c r="D38" s="22" t="s">
        <v>13</v>
      </c>
      <c r="E38" s="13" t="str">
        <f>+IF(F38=0,0,CONCATENATE(MID(F38,FIND("-",F38,1)+1,4),"ORAS"))</f>
        <v>15 HORAS</v>
      </c>
      <c r="F38" s="14" t="s">
        <v>17</v>
      </c>
      <c r="G38" s="308">
        <f>+IF(F38="","",VLOOKUP(F38,$H$140:I$192,2,FALSE))</f>
        <v>443323</v>
      </c>
      <c r="H38" s="2"/>
      <c r="I38" s="2"/>
      <c r="J38" s="2"/>
      <c r="K38" s="2"/>
      <c r="L38" s="2"/>
      <c r="M38" s="2"/>
      <c r="N38" s="2"/>
      <c r="O38" s="2"/>
      <c r="P38" s="2"/>
      <c r="Q38" s="2"/>
      <c r="R38" s="2"/>
      <c r="S38" s="2"/>
      <c r="T38" s="2"/>
      <c r="U38" s="2"/>
      <c r="V38" s="2"/>
      <c r="W38" s="2"/>
      <c r="X38" s="2"/>
      <c r="Y38" s="2"/>
    </row>
    <row r="39" spans="1:25" ht="15.75" x14ac:dyDescent="0.25">
      <c r="A39" s="84"/>
      <c r="B39" s="51"/>
      <c r="C39" s="334"/>
      <c r="D39" s="22"/>
      <c r="E39" s="13">
        <f>+IF(F39=0,0,CONCATENATE(MID(F39,FIND("-",F39,1)+1,4),"ORAS"))</f>
        <v>0</v>
      </c>
      <c r="F39" s="14">
        <v>0</v>
      </c>
      <c r="G39" s="19">
        <f>+IF(F39="","",VLOOKUP(F39,$H$140:I$192,2,FALSE))</f>
        <v>0</v>
      </c>
      <c r="H39" s="2"/>
      <c r="I39" s="2"/>
      <c r="J39" s="2"/>
      <c r="K39" s="2"/>
      <c r="L39" s="2"/>
      <c r="M39" s="2"/>
      <c r="N39" s="2"/>
      <c r="O39" s="2"/>
      <c r="P39" s="2"/>
      <c r="Q39" s="2"/>
      <c r="R39" s="2"/>
      <c r="S39" s="2"/>
      <c r="T39" s="2"/>
      <c r="U39" s="2"/>
      <c r="V39" s="2"/>
      <c r="W39" s="2"/>
      <c r="X39" s="2"/>
      <c r="Y39" s="2"/>
    </row>
    <row r="40" spans="1:25" ht="15.75" x14ac:dyDescent="0.2">
      <c r="A40" s="85"/>
      <c r="B40" s="16"/>
      <c r="C40" s="86"/>
      <c r="D40" s="43"/>
      <c r="E40" s="13"/>
      <c r="F40" s="57"/>
      <c r="G40" s="30"/>
      <c r="H40" s="2"/>
      <c r="I40" s="2"/>
      <c r="J40" s="2"/>
      <c r="K40" s="2"/>
      <c r="L40" s="2"/>
      <c r="M40" s="2"/>
      <c r="N40" s="2"/>
      <c r="O40" s="2"/>
      <c r="P40" s="2"/>
      <c r="Q40" s="2"/>
      <c r="R40" s="2"/>
      <c r="S40" s="2"/>
      <c r="T40" s="2"/>
      <c r="U40" s="2"/>
      <c r="V40" s="2"/>
      <c r="W40" s="2"/>
      <c r="X40" s="2"/>
      <c r="Y40" s="2"/>
    </row>
    <row r="41" spans="1:25" ht="15.75" x14ac:dyDescent="0.2">
      <c r="A41" s="60" t="s">
        <v>42</v>
      </c>
      <c r="B41" s="61">
        <f>+B27+B28+B29+B35+B36+B37+B38+B39+B30</f>
        <v>25</v>
      </c>
      <c r="C41" s="62">
        <f>SUM(C27:C32)+C35+C36+C37+C38+C39+C40</f>
        <v>8</v>
      </c>
      <c r="D41" s="62"/>
      <c r="E41" s="13">
        <f>+IF(F41=0,0,CONCATENATE(MID(F41,FIND("-",F41,1)+1,3),"ORAS"))</f>
        <v>0</v>
      </c>
      <c r="F41" s="62"/>
      <c r="G41" s="44">
        <f>SUM(G27:G32,G35:G40)</f>
        <v>3901004</v>
      </c>
      <c r="H41" s="2"/>
      <c r="I41" s="2"/>
      <c r="J41" s="2"/>
      <c r="K41" s="2"/>
      <c r="L41" s="2"/>
      <c r="M41" s="2"/>
      <c r="N41" s="2"/>
      <c r="O41" s="2"/>
      <c r="P41" s="2"/>
      <c r="Q41" s="2"/>
      <c r="R41" s="2"/>
      <c r="S41" s="2"/>
      <c r="T41" s="2"/>
      <c r="U41" s="2"/>
      <c r="V41" s="2"/>
      <c r="W41" s="2"/>
      <c r="X41" s="2"/>
      <c r="Y41" s="2"/>
    </row>
    <row r="42" spans="1:25" ht="15.75" x14ac:dyDescent="0.2">
      <c r="A42" s="373" t="s">
        <v>54</v>
      </c>
      <c r="B42" s="373"/>
      <c r="C42" s="373"/>
      <c r="D42" s="373"/>
      <c r="E42" s="373"/>
      <c r="F42" s="373"/>
      <c r="G42" s="373"/>
      <c r="H42" s="2"/>
      <c r="I42" s="2"/>
      <c r="J42" s="2"/>
      <c r="K42" s="2"/>
      <c r="L42" s="2"/>
      <c r="M42" s="2"/>
      <c r="N42" s="2"/>
      <c r="O42" s="2"/>
      <c r="P42" s="2"/>
      <c r="Q42" s="2"/>
      <c r="R42" s="2"/>
      <c r="S42" s="2"/>
      <c r="T42" s="2"/>
      <c r="U42" s="2"/>
      <c r="V42" s="2"/>
      <c r="W42" s="2"/>
      <c r="X42" s="2"/>
      <c r="Y42" s="2"/>
    </row>
    <row r="43" spans="1:25" ht="15.75" x14ac:dyDescent="0.2">
      <c r="A43" s="373" t="s">
        <v>1</v>
      </c>
      <c r="B43" s="373"/>
      <c r="C43" s="373"/>
      <c r="D43" s="373"/>
      <c r="E43" s="373"/>
      <c r="F43" s="373"/>
      <c r="G43" s="373"/>
      <c r="H43" s="2"/>
      <c r="I43" s="2"/>
      <c r="J43" s="2"/>
      <c r="K43" s="2"/>
      <c r="L43" s="2"/>
      <c r="M43" s="2"/>
      <c r="N43" s="2"/>
      <c r="O43" s="2"/>
      <c r="P43" s="2"/>
      <c r="Q43" s="2"/>
      <c r="R43" s="2"/>
      <c r="S43" s="2"/>
      <c r="T43" s="2"/>
      <c r="U43" s="2"/>
      <c r="V43" s="2"/>
      <c r="W43" s="2"/>
      <c r="X43" s="2"/>
      <c r="Y43" s="2"/>
    </row>
    <row r="44" spans="1:25" ht="15.75" x14ac:dyDescent="0.2">
      <c r="A44" s="87" t="s">
        <v>4</v>
      </c>
      <c r="B44" s="88" t="s">
        <v>5</v>
      </c>
      <c r="C44" s="88" t="s">
        <v>6</v>
      </c>
      <c r="D44" s="88" t="s">
        <v>7</v>
      </c>
      <c r="E44" s="88" t="s">
        <v>8</v>
      </c>
      <c r="F44" s="88" t="s">
        <v>9</v>
      </c>
      <c r="G44" s="88" t="s">
        <v>10</v>
      </c>
      <c r="H44" s="2"/>
      <c r="I44" s="2"/>
      <c r="J44" s="2"/>
      <c r="K44" s="2"/>
      <c r="L44" s="2"/>
      <c r="M44" s="2"/>
      <c r="N44" s="2"/>
      <c r="O44" s="2"/>
      <c r="P44" s="2"/>
      <c r="Q44" s="2"/>
      <c r="R44" s="2"/>
      <c r="S44" s="2"/>
      <c r="T44" s="2"/>
      <c r="U44" s="2"/>
      <c r="V44" s="2"/>
      <c r="W44" s="2"/>
      <c r="X44" s="2"/>
      <c r="Y44" s="2"/>
    </row>
    <row r="45" spans="1:25" ht="15.75" x14ac:dyDescent="0.2">
      <c r="A45" s="89"/>
      <c r="B45" s="90"/>
      <c r="C45" s="90"/>
      <c r="D45" s="91"/>
      <c r="E45" s="91"/>
      <c r="F45" s="91"/>
      <c r="G45" s="92"/>
      <c r="H45" s="2"/>
      <c r="I45" s="2"/>
      <c r="J45" s="2"/>
      <c r="K45" s="2"/>
      <c r="L45" s="2"/>
      <c r="M45" s="2"/>
      <c r="N45" s="2"/>
      <c r="O45" s="2"/>
      <c r="P45" s="2"/>
      <c r="Q45" s="2"/>
      <c r="R45" s="2"/>
      <c r="S45" s="2"/>
      <c r="T45" s="2"/>
      <c r="U45" s="2"/>
      <c r="V45" s="2"/>
      <c r="W45" s="2"/>
      <c r="X45" s="2"/>
      <c r="Y45" s="2"/>
    </row>
    <row r="46" spans="1:25" ht="1.5" customHeight="1" x14ac:dyDescent="0.2">
      <c r="A46" s="89"/>
      <c r="B46" s="90"/>
      <c r="C46" s="90"/>
      <c r="D46" s="90"/>
      <c r="E46" s="90"/>
      <c r="F46" s="90"/>
      <c r="G46" s="90"/>
      <c r="H46" s="2"/>
      <c r="I46" s="2"/>
      <c r="J46" s="2"/>
      <c r="K46" s="2"/>
      <c r="L46" s="2"/>
      <c r="M46" s="2"/>
      <c r="N46" s="2"/>
      <c r="O46" s="2"/>
      <c r="P46" s="2"/>
      <c r="Q46" s="2"/>
      <c r="R46" s="2"/>
      <c r="S46" s="2"/>
      <c r="T46" s="2"/>
      <c r="U46" s="2"/>
      <c r="V46" s="2"/>
      <c r="W46" s="2"/>
      <c r="X46" s="2"/>
      <c r="Y46" s="2"/>
    </row>
    <row r="47" spans="1:25" ht="15.75" x14ac:dyDescent="0.25">
      <c r="A47" s="53"/>
      <c r="B47" s="16"/>
      <c r="C47" s="334"/>
      <c r="D47" s="22"/>
      <c r="E47" s="13"/>
      <c r="F47" s="57"/>
      <c r="G47" s="57"/>
      <c r="H47" s="2"/>
      <c r="I47" s="2"/>
      <c r="J47" s="374"/>
      <c r="K47" s="374"/>
      <c r="L47" s="374"/>
      <c r="M47" s="374"/>
      <c r="N47" s="374"/>
      <c r="O47" s="374"/>
      <c r="P47" s="374"/>
      <c r="Q47" s="2"/>
      <c r="R47" s="2"/>
      <c r="S47" s="2"/>
      <c r="T47" s="2"/>
      <c r="U47" s="2"/>
      <c r="V47" s="2"/>
      <c r="W47" s="2"/>
      <c r="X47" s="2"/>
      <c r="Y47" s="2"/>
    </row>
    <row r="48" spans="1:25" ht="15.75" x14ac:dyDescent="0.2">
      <c r="A48" s="93"/>
      <c r="B48" s="16"/>
      <c r="C48" s="57"/>
      <c r="D48" s="57"/>
      <c r="E48" s="13"/>
      <c r="F48" s="57"/>
      <c r="G48" s="57"/>
      <c r="H48" s="2"/>
      <c r="I48" s="2"/>
      <c r="J48" s="374"/>
      <c r="K48" s="374"/>
      <c r="L48" s="374"/>
      <c r="M48" s="374"/>
      <c r="N48" s="374"/>
      <c r="O48" s="374"/>
      <c r="P48" s="374"/>
      <c r="Q48" s="2"/>
      <c r="R48" s="2"/>
      <c r="S48" s="2"/>
      <c r="T48" s="2"/>
      <c r="U48" s="2"/>
      <c r="V48" s="2"/>
      <c r="W48" s="2"/>
      <c r="X48" s="2"/>
      <c r="Y48" s="2"/>
    </row>
    <row r="49" spans="1:25" ht="15.75" x14ac:dyDescent="0.2">
      <c r="A49" s="93"/>
      <c r="B49" s="16"/>
      <c r="C49" s="57"/>
      <c r="D49" s="57"/>
      <c r="E49" s="13"/>
      <c r="F49" s="57"/>
      <c r="G49" s="57"/>
      <c r="H49" s="2"/>
      <c r="I49" s="2"/>
      <c r="J49" s="374"/>
      <c r="K49" s="374"/>
      <c r="L49" s="374"/>
      <c r="M49" s="374"/>
      <c r="N49" s="374"/>
      <c r="O49" s="374"/>
      <c r="P49" s="374"/>
      <c r="Q49" s="2"/>
      <c r="R49" s="2"/>
      <c r="S49" s="2"/>
      <c r="T49" s="2"/>
      <c r="U49" s="2"/>
      <c r="V49" s="2"/>
      <c r="W49" s="2"/>
      <c r="X49" s="2"/>
      <c r="Y49" s="2"/>
    </row>
    <row r="50" spans="1:25" ht="15.75" x14ac:dyDescent="0.2">
      <c r="A50" s="93"/>
      <c r="B50" s="16"/>
      <c r="C50" s="57"/>
      <c r="D50" s="57"/>
      <c r="E50" s="13"/>
      <c r="F50" s="57"/>
      <c r="G50" s="57"/>
      <c r="H50" s="2"/>
      <c r="I50" s="2"/>
      <c r="J50" s="374"/>
      <c r="K50" s="374"/>
      <c r="L50" s="374"/>
      <c r="M50" s="374"/>
      <c r="N50" s="374"/>
      <c r="O50" s="374"/>
      <c r="P50" s="374"/>
      <c r="Q50" s="2"/>
      <c r="R50" s="2"/>
      <c r="S50" s="2"/>
      <c r="T50" s="2"/>
      <c r="U50" s="2"/>
      <c r="V50" s="2"/>
      <c r="W50" s="2"/>
      <c r="X50" s="2"/>
      <c r="Y50" s="2"/>
    </row>
    <row r="51" spans="1:25" ht="15.75" x14ac:dyDescent="0.2">
      <c r="A51" s="93"/>
      <c r="B51" s="57"/>
      <c r="C51" s="57"/>
      <c r="D51" s="57"/>
      <c r="E51" s="13"/>
      <c r="F51" s="57"/>
      <c r="G51" s="57"/>
      <c r="H51" s="2"/>
      <c r="I51" s="2"/>
      <c r="J51" s="374"/>
      <c r="K51" s="374"/>
      <c r="L51" s="374"/>
      <c r="M51" s="374"/>
      <c r="N51" s="374"/>
      <c r="O51" s="374"/>
      <c r="P51" s="374"/>
      <c r="Q51" s="2"/>
      <c r="R51" s="2"/>
      <c r="S51" s="2"/>
      <c r="T51" s="2"/>
      <c r="U51" s="2"/>
      <c r="V51" s="2"/>
      <c r="W51" s="2"/>
      <c r="X51" s="2"/>
      <c r="Y51" s="2"/>
    </row>
    <row r="52" spans="1:25" ht="15.75" x14ac:dyDescent="0.2">
      <c r="A52" s="93"/>
      <c r="B52" s="57"/>
      <c r="C52" s="57"/>
      <c r="D52" s="57"/>
      <c r="E52" s="13"/>
      <c r="F52" s="57"/>
      <c r="G52" s="57"/>
      <c r="H52" s="2"/>
      <c r="I52" s="2"/>
      <c r="J52" s="374"/>
      <c r="K52" s="374"/>
      <c r="L52" s="374"/>
      <c r="M52" s="374"/>
      <c r="N52" s="374"/>
      <c r="O52" s="374"/>
      <c r="P52" s="374"/>
      <c r="Q52" s="2"/>
      <c r="R52" s="2"/>
      <c r="S52" s="2"/>
      <c r="T52" s="2"/>
      <c r="U52" s="2"/>
      <c r="V52" s="2"/>
      <c r="W52" s="2"/>
      <c r="X52" s="2"/>
      <c r="Y52" s="2"/>
    </row>
    <row r="53" spans="1:25" ht="15.75" x14ac:dyDescent="0.2">
      <c r="A53" s="376" t="s">
        <v>33</v>
      </c>
      <c r="B53" s="376"/>
      <c r="C53" s="376"/>
      <c r="D53" s="376"/>
      <c r="E53" s="376"/>
      <c r="F53" s="376"/>
      <c r="G53" s="376"/>
      <c r="H53" s="2"/>
      <c r="I53" s="2"/>
      <c r="J53" s="374"/>
      <c r="K53" s="374"/>
      <c r="L53" s="374"/>
      <c r="M53" s="374"/>
      <c r="N53" s="374"/>
      <c r="O53" s="374"/>
      <c r="P53" s="374"/>
      <c r="Q53" s="2"/>
      <c r="R53" s="2"/>
      <c r="S53" s="2"/>
      <c r="T53" s="2"/>
      <c r="U53" s="2"/>
      <c r="V53" s="2"/>
      <c r="W53" s="2"/>
      <c r="X53" s="2"/>
      <c r="Y53" s="2"/>
    </row>
    <row r="54" spans="1:25" ht="15.75" x14ac:dyDescent="0.2">
      <c r="A54" s="87" t="s">
        <v>4</v>
      </c>
      <c r="B54" s="88" t="s">
        <v>5</v>
      </c>
      <c r="C54" s="88" t="s">
        <v>6</v>
      </c>
      <c r="D54" s="88" t="s">
        <v>7</v>
      </c>
      <c r="E54" s="88" t="s">
        <v>8</v>
      </c>
      <c r="F54" s="88" t="s">
        <v>9</v>
      </c>
      <c r="G54" s="88" t="s">
        <v>10</v>
      </c>
      <c r="H54" s="2"/>
      <c r="I54" s="2"/>
      <c r="J54" s="374"/>
      <c r="K54" s="374"/>
      <c r="L54" s="374"/>
      <c r="M54" s="374"/>
      <c r="N54" s="374"/>
      <c r="O54" s="374"/>
      <c r="P54" s="374"/>
      <c r="Q54" s="2"/>
      <c r="R54" s="2"/>
      <c r="S54" s="2"/>
      <c r="T54" s="2"/>
      <c r="U54" s="2"/>
      <c r="V54" s="2"/>
      <c r="W54" s="2"/>
      <c r="X54" s="2"/>
      <c r="Y54" s="2"/>
    </row>
    <row r="55" spans="1:25" ht="15.75" x14ac:dyDescent="0.25">
      <c r="A55" s="53" t="s">
        <v>55</v>
      </c>
      <c r="B55" s="94" t="str">
        <f t="shared" ref="B55:B57" si="3">+IF(F55=0,0,MID(F55,LEN(F55)-3,1))</f>
        <v>3</v>
      </c>
      <c r="C55" s="334">
        <v>1</v>
      </c>
      <c r="D55" s="22" t="s">
        <v>13</v>
      </c>
      <c r="E55" s="13" t="str">
        <f t="shared" ref="E55:E64" si="4">+IF(F55=0,0,CONCATENATE(MID(F55,FIND("-",F55,1)+1,4),"ORAS"))</f>
        <v>15 HORAS</v>
      </c>
      <c r="F55" s="14" t="s">
        <v>17</v>
      </c>
      <c r="G55" s="308">
        <f>+IF(F55="","",VLOOKUP(F55,$H$140:I$192,2,FALSE))</f>
        <v>443323</v>
      </c>
      <c r="H55" s="2"/>
      <c r="I55" s="2"/>
      <c r="J55" s="374"/>
      <c r="K55" s="374"/>
      <c r="L55" s="374"/>
      <c r="M55" s="374"/>
      <c r="N55" s="374"/>
      <c r="O55" s="374"/>
      <c r="P55" s="374"/>
      <c r="Q55" s="2"/>
      <c r="R55" s="2"/>
      <c r="S55" s="2"/>
      <c r="T55" s="2"/>
      <c r="U55" s="2"/>
      <c r="V55" s="2"/>
      <c r="W55" s="2"/>
      <c r="X55" s="2"/>
      <c r="Y55" s="2"/>
    </row>
    <row r="56" spans="1:25" ht="15.75" x14ac:dyDescent="0.25">
      <c r="A56" s="53" t="s">
        <v>56</v>
      </c>
      <c r="B56" s="94" t="str">
        <f t="shared" si="3"/>
        <v>3</v>
      </c>
      <c r="C56" s="334">
        <v>1</v>
      </c>
      <c r="D56" s="22" t="s">
        <v>13</v>
      </c>
      <c r="E56" s="13" t="str">
        <f t="shared" si="4"/>
        <v>15 HORAS</v>
      </c>
      <c r="F56" s="14" t="s">
        <v>17</v>
      </c>
      <c r="G56" s="308">
        <f>+IF(F56="","",VLOOKUP(F56,$H$140:I$192,2,FALSE))</f>
        <v>443323</v>
      </c>
      <c r="H56" s="2"/>
      <c r="I56" s="2"/>
      <c r="J56" s="374"/>
      <c r="K56" s="374"/>
      <c r="L56" s="374"/>
      <c r="M56" s="374"/>
      <c r="N56" s="374"/>
      <c r="O56" s="374"/>
      <c r="P56" s="374"/>
      <c r="Q56" s="2"/>
      <c r="R56" s="2"/>
      <c r="S56" s="2"/>
      <c r="T56" s="2"/>
      <c r="U56" s="2"/>
      <c r="V56" s="2"/>
      <c r="W56" s="2"/>
      <c r="X56" s="2"/>
      <c r="Y56" s="2"/>
    </row>
    <row r="57" spans="1:25" ht="15.75" x14ac:dyDescent="0.25">
      <c r="A57" s="53" t="s">
        <v>57</v>
      </c>
      <c r="B57" s="94" t="str">
        <f t="shared" si="3"/>
        <v>3</v>
      </c>
      <c r="C57" s="334">
        <v>1</v>
      </c>
      <c r="D57" s="22" t="s">
        <v>13</v>
      </c>
      <c r="E57" s="13" t="str">
        <f t="shared" si="4"/>
        <v>15 HORAS</v>
      </c>
      <c r="F57" s="14" t="s">
        <v>17</v>
      </c>
      <c r="G57" s="308">
        <f>+IF(F57="","",VLOOKUP(F57,$H$140:I$192,2,FALSE))</f>
        <v>443323</v>
      </c>
      <c r="H57" s="2"/>
      <c r="I57" s="2"/>
      <c r="J57" s="374"/>
      <c r="K57" s="374"/>
      <c r="L57" s="374"/>
      <c r="M57" s="374"/>
      <c r="N57" s="374"/>
      <c r="O57" s="374"/>
      <c r="P57" s="374"/>
      <c r="Q57" s="2"/>
      <c r="R57" s="2"/>
      <c r="S57" s="2"/>
      <c r="T57" s="2"/>
      <c r="U57" s="2"/>
      <c r="V57" s="2"/>
      <c r="W57" s="2"/>
      <c r="X57" s="2"/>
      <c r="Y57" s="2"/>
    </row>
    <row r="58" spans="1:25" ht="15.75" x14ac:dyDescent="0.25">
      <c r="A58" s="95" t="s">
        <v>58</v>
      </c>
      <c r="B58" s="94">
        <v>3</v>
      </c>
      <c r="C58" s="334">
        <v>1</v>
      </c>
      <c r="D58" s="22" t="s">
        <v>13</v>
      </c>
      <c r="E58" s="13" t="str">
        <f t="shared" si="4"/>
        <v>15 HORAS</v>
      </c>
      <c r="F58" s="14" t="s">
        <v>17</v>
      </c>
      <c r="G58" s="308">
        <f>+IF(F58="","",VLOOKUP(F58,$H$140:I$192,2,FALSE))</f>
        <v>443323</v>
      </c>
      <c r="H58" s="2"/>
      <c r="I58" s="2"/>
      <c r="J58" s="374"/>
      <c r="K58" s="374"/>
      <c r="L58" s="374"/>
      <c r="M58" s="374"/>
      <c r="N58" s="374"/>
      <c r="O58" s="374"/>
      <c r="P58" s="374"/>
      <c r="Q58" s="2"/>
      <c r="R58" s="2"/>
      <c r="S58" s="2"/>
      <c r="T58" s="2"/>
      <c r="U58" s="2"/>
      <c r="V58" s="2"/>
      <c r="W58" s="2"/>
      <c r="X58" s="2"/>
      <c r="Y58" s="2"/>
    </row>
    <row r="59" spans="1:25" ht="15.75" x14ac:dyDescent="0.25">
      <c r="A59" s="95" t="s">
        <v>59</v>
      </c>
      <c r="B59" s="94">
        <v>3</v>
      </c>
      <c r="C59" s="334">
        <v>1</v>
      </c>
      <c r="D59" s="22" t="s">
        <v>13</v>
      </c>
      <c r="E59" s="13" t="str">
        <f t="shared" si="4"/>
        <v>15 HORAS</v>
      </c>
      <c r="F59" s="14" t="s">
        <v>17</v>
      </c>
      <c r="G59" s="308">
        <f>+IF(F59="","",VLOOKUP(F59,$H$140:I$192,2,FALSE))</f>
        <v>443323</v>
      </c>
      <c r="H59" s="2"/>
      <c r="I59" s="2"/>
      <c r="J59" s="374"/>
      <c r="K59" s="374"/>
      <c r="L59" s="374"/>
      <c r="M59" s="374"/>
      <c r="N59" s="374"/>
      <c r="O59" s="374"/>
      <c r="P59" s="374"/>
      <c r="Q59" s="2"/>
      <c r="R59" s="2"/>
      <c r="S59" s="2"/>
      <c r="T59" s="2"/>
      <c r="U59" s="2"/>
      <c r="V59" s="2"/>
      <c r="W59" s="2"/>
      <c r="X59" s="2"/>
      <c r="Y59" s="2"/>
    </row>
    <row r="60" spans="1:25" ht="15.75" x14ac:dyDescent="0.25">
      <c r="A60" s="96"/>
      <c r="B60" s="94"/>
      <c r="C60" s="334"/>
      <c r="D60" s="22"/>
      <c r="E60" s="13">
        <f t="shared" si="4"/>
        <v>0</v>
      </c>
      <c r="F60" s="14">
        <v>0</v>
      </c>
      <c r="G60" s="19">
        <f>+IF(F60="","",VLOOKUP(F60,$H$140:I$192,2,FALSE))</f>
        <v>0</v>
      </c>
      <c r="H60" s="2"/>
      <c r="I60" s="2"/>
      <c r="J60" s="374"/>
      <c r="K60" s="374"/>
      <c r="L60" s="374"/>
      <c r="M60" s="374"/>
      <c r="N60" s="374"/>
      <c r="O60" s="374"/>
      <c r="P60" s="374"/>
      <c r="Q60" s="2"/>
      <c r="R60" s="2"/>
      <c r="S60" s="2"/>
      <c r="T60" s="2"/>
      <c r="U60" s="2"/>
      <c r="V60" s="2"/>
      <c r="W60" s="2"/>
      <c r="X60" s="2"/>
      <c r="Y60" s="2"/>
    </row>
    <row r="61" spans="1:25" ht="15.75" x14ac:dyDescent="0.25">
      <c r="A61" s="96"/>
      <c r="B61" s="94"/>
      <c r="C61" s="334"/>
      <c r="D61" s="22"/>
      <c r="E61" s="13">
        <f t="shared" si="4"/>
        <v>0</v>
      </c>
      <c r="F61" s="14">
        <v>0</v>
      </c>
      <c r="G61" s="19">
        <f>+IF(F61="","",VLOOKUP(F61,$H$140:I$192,2,FALSE))</f>
        <v>0</v>
      </c>
      <c r="H61" s="2"/>
      <c r="I61" s="2"/>
      <c r="J61" s="374"/>
      <c r="K61" s="374"/>
      <c r="L61" s="374"/>
      <c r="M61" s="374"/>
      <c r="N61" s="374"/>
      <c r="O61" s="374"/>
      <c r="P61" s="374"/>
      <c r="Q61" s="2"/>
      <c r="R61" s="2"/>
      <c r="S61" s="2"/>
      <c r="T61" s="2"/>
      <c r="U61" s="2"/>
      <c r="V61" s="2"/>
      <c r="W61" s="2"/>
      <c r="X61" s="2"/>
      <c r="Y61" s="2"/>
    </row>
    <row r="62" spans="1:25" ht="15.75" x14ac:dyDescent="0.25">
      <c r="A62" s="96"/>
      <c r="B62" s="94"/>
      <c r="C62" s="334"/>
      <c r="D62" s="22"/>
      <c r="E62" s="13">
        <f t="shared" si="4"/>
        <v>0</v>
      </c>
      <c r="F62" s="14">
        <v>0</v>
      </c>
      <c r="G62" s="19">
        <f>+IF(F62="","",VLOOKUP(F62,$H$140:I$192,2,FALSE))</f>
        <v>0</v>
      </c>
      <c r="H62" s="2"/>
      <c r="I62" s="2"/>
      <c r="J62" s="374"/>
      <c r="K62" s="374"/>
      <c r="L62" s="374"/>
      <c r="M62" s="374"/>
      <c r="N62" s="374"/>
      <c r="O62" s="374"/>
      <c r="P62" s="374"/>
      <c r="Q62" s="2"/>
      <c r="R62" s="2"/>
      <c r="S62" s="2"/>
      <c r="T62" s="2"/>
      <c r="U62" s="2"/>
      <c r="V62" s="2"/>
      <c r="W62" s="2"/>
      <c r="X62" s="2"/>
      <c r="Y62" s="2"/>
    </row>
    <row r="63" spans="1:25" ht="15.75" x14ac:dyDescent="0.25">
      <c r="A63" s="95"/>
      <c r="B63" s="94"/>
      <c r="C63" s="334"/>
      <c r="D63" s="22"/>
      <c r="E63" s="13">
        <f t="shared" si="4"/>
        <v>0</v>
      </c>
      <c r="F63" s="14">
        <v>0</v>
      </c>
      <c r="G63" s="19">
        <f>+IF(F63="","",VLOOKUP(F63,$H$140:I$192,2,FALSE))</f>
        <v>0</v>
      </c>
      <c r="H63" s="2"/>
      <c r="I63" s="2"/>
      <c r="J63" s="374"/>
      <c r="K63" s="374"/>
      <c r="L63" s="374"/>
      <c r="M63" s="374"/>
      <c r="N63" s="374"/>
      <c r="O63" s="374"/>
      <c r="P63" s="374"/>
      <c r="Q63" s="2"/>
      <c r="R63" s="2"/>
      <c r="S63" s="2"/>
      <c r="T63" s="2"/>
      <c r="U63" s="2"/>
      <c r="V63" s="2"/>
      <c r="W63" s="2"/>
      <c r="X63" s="2"/>
      <c r="Y63" s="2"/>
    </row>
    <row r="64" spans="1:25" ht="15.75" x14ac:dyDescent="0.25">
      <c r="A64" s="95"/>
      <c r="B64" s="94"/>
      <c r="C64" s="334"/>
      <c r="D64" s="22"/>
      <c r="E64" s="13">
        <f t="shared" si="4"/>
        <v>0</v>
      </c>
      <c r="F64" s="14">
        <v>0</v>
      </c>
      <c r="G64" s="19">
        <f>+IF(F64="","",VLOOKUP(F64,$H$140:I$192,2,FALSE))</f>
        <v>0</v>
      </c>
      <c r="H64" s="2"/>
      <c r="I64" s="2"/>
      <c r="J64" s="374"/>
      <c r="K64" s="374"/>
      <c r="L64" s="374"/>
      <c r="M64" s="374"/>
      <c r="N64" s="374"/>
      <c r="O64" s="374"/>
      <c r="P64" s="374"/>
      <c r="Q64" s="2"/>
      <c r="R64" s="2"/>
      <c r="S64" s="2"/>
      <c r="T64" s="2"/>
      <c r="U64" s="2"/>
      <c r="V64" s="2"/>
      <c r="W64" s="2"/>
      <c r="X64" s="2"/>
      <c r="Y64" s="2"/>
    </row>
    <row r="65" spans="1:31" ht="15.75" x14ac:dyDescent="0.25">
      <c r="A65" s="93"/>
      <c r="B65" s="16"/>
      <c r="C65" s="334"/>
      <c r="D65" s="97"/>
      <c r="E65" s="14"/>
      <c r="F65" s="14"/>
      <c r="G65" s="30"/>
      <c r="H65" s="2"/>
      <c r="I65" s="2"/>
      <c r="J65" s="374"/>
      <c r="K65" s="374"/>
      <c r="L65" s="374"/>
      <c r="M65" s="374"/>
      <c r="N65" s="374"/>
      <c r="O65" s="374"/>
      <c r="P65" s="374"/>
      <c r="Q65" s="2"/>
      <c r="R65" s="2"/>
      <c r="S65" s="2"/>
      <c r="T65" s="2"/>
      <c r="U65" s="2"/>
      <c r="V65" s="2"/>
      <c r="W65" s="2"/>
      <c r="X65" s="2"/>
      <c r="Y65" s="2"/>
    </row>
    <row r="66" spans="1:31" ht="15.75" x14ac:dyDescent="0.2">
      <c r="A66" s="93" t="s">
        <v>42</v>
      </c>
      <c r="B66" s="61">
        <f>B47+B48+B49+B50+B51+B52+B55+B56+B57+B58+B59+B60+B61+B62+B63+B64</f>
        <v>15</v>
      </c>
      <c r="C66" s="62">
        <f>SUM(C47:C52,C55:C65)</f>
        <v>5</v>
      </c>
      <c r="D66" s="62"/>
      <c r="E66" s="98"/>
      <c r="F66" s="62"/>
      <c r="G66" s="44">
        <f>SUM(G47:G52,G55:G65)</f>
        <v>2216615</v>
      </c>
      <c r="H66" s="2"/>
      <c r="I66" s="2"/>
      <c r="J66" s="374"/>
      <c r="K66" s="374"/>
      <c r="L66" s="374"/>
      <c r="M66" s="374"/>
      <c r="N66" s="374"/>
      <c r="O66" s="374"/>
      <c r="P66" s="374"/>
      <c r="Q66" s="2"/>
      <c r="R66" s="2"/>
      <c r="S66" s="2"/>
      <c r="T66" s="2"/>
      <c r="U66" s="2"/>
      <c r="V66" s="2"/>
      <c r="W66" s="2"/>
      <c r="X66" s="2"/>
      <c r="Y66" s="2"/>
    </row>
    <row r="67" spans="1:31" ht="15" x14ac:dyDescent="0.2">
      <c r="A67" s="2"/>
      <c r="B67" s="2"/>
      <c r="C67" s="2"/>
      <c r="D67" s="2"/>
      <c r="E67" s="2"/>
      <c r="F67" s="2"/>
      <c r="G67" s="2"/>
      <c r="H67" s="2"/>
      <c r="I67" s="2"/>
      <c r="J67" s="2"/>
      <c r="K67" s="2"/>
      <c r="L67" s="2"/>
      <c r="M67" s="2"/>
      <c r="N67" s="2"/>
      <c r="O67" s="2"/>
      <c r="P67" s="2"/>
      <c r="Q67" s="2"/>
      <c r="R67" s="2"/>
      <c r="S67" s="2"/>
      <c r="T67" s="2"/>
      <c r="U67" s="2"/>
      <c r="V67" s="2"/>
      <c r="W67" s="2"/>
      <c r="X67" s="2"/>
      <c r="Y67" s="2"/>
    </row>
    <row r="68" spans="1:31" ht="15" x14ac:dyDescent="0.2">
      <c r="A68" s="74" t="s">
        <v>45</v>
      </c>
      <c r="B68" s="99">
        <f>B66+B41+B23</f>
        <v>65</v>
      </c>
      <c r="C68" s="99">
        <f>C66+C41+C23</f>
        <v>20</v>
      </c>
      <c r="D68" s="74"/>
      <c r="E68" s="2"/>
      <c r="F68" s="2"/>
      <c r="G68" s="44">
        <f>SUM(G23,G41,G66)</f>
        <v>10306765</v>
      </c>
      <c r="H68" s="2"/>
      <c r="I68" s="2"/>
      <c r="J68" s="2"/>
      <c r="K68" s="2"/>
      <c r="L68" s="2"/>
      <c r="M68" s="2"/>
      <c r="N68" s="2"/>
      <c r="O68" s="2"/>
      <c r="P68" s="2"/>
      <c r="Q68" s="2"/>
      <c r="R68" s="2"/>
      <c r="S68" s="2"/>
      <c r="T68" s="2"/>
      <c r="U68" s="2"/>
      <c r="V68" s="2"/>
      <c r="W68" s="2"/>
      <c r="X68" s="2"/>
      <c r="Y68" s="2"/>
    </row>
    <row r="69" spans="1:31" ht="15.75" x14ac:dyDescent="0.25">
      <c r="A69" s="2"/>
      <c r="B69" s="2"/>
      <c r="C69" s="2"/>
      <c r="D69" s="2"/>
      <c r="E69" s="2"/>
      <c r="F69" s="2"/>
      <c r="G69" s="2"/>
      <c r="H69" s="2"/>
      <c r="I69" s="2"/>
      <c r="J69" s="100" t="s">
        <v>60</v>
      </c>
      <c r="K69" s="101">
        <f>K26+B68+T26+AB26</f>
        <v>92</v>
      </c>
      <c r="L69" s="102"/>
      <c r="M69" s="103"/>
      <c r="N69" s="103"/>
      <c r="O69" s="103"/>
      <c r="P69" s="103"/>
      <c r="Q69" s="2"/>
      <c r="R69" s="2"/>
      <c r="S69" s="2"/>
      <c r="T69" s="2"/>
      <c r="U69" s="2"/>
      <c r="V69" s="2"/>
      <c r="W69" s="2"/>
      <c r="X69" s="2"/>
      <c r="Y69" s="2"/>
    </row>
    <row r="70" spans="1:31" ht="16.5" thickBot="1" x14ac:dyDescent="0.3">
      <c r="A70" s="2"/>
      <c r="B70" s="2"/>
      <c r="C70" s="2"/>
      <c r="D70" s="2"/>
      <c r="E70" s="2"/>
      <c r="F70" s="2"/>
      <c r="G70" s="2"/>
      <c r="H70" s="2"/>
      <c r="I70" s="2"/>
      <c r="J70" s="100" t="s">
        <v>61</v>
      </c>
      <c r="K70" s="104">
        <f>L26+C68+U26+AC26</f>
        <v>28</v>
      </c>
      <c r="L70" s="2"/>
      <c r="M70" s="105" t="s">
        <v>0</v>
      </c>
      <c r="N70" s="105" t="s">
        <v>43</v>
      </c>
      <c r="O70" s="105" t="s">
        <v>54</v>
      </c>
      <c r="P70" s="106"/>
      <c r="R70" s="107"/>
      <c r="T70" s="2"/>
      <c r="U70" s="2"/>
      <c r="V70" s="2"/>
      <c r="W70" s="2"/>
      <c r="X70" s="2"/>
      <c r="Y70" s="2"/>
    </row>
    <row r="71" spans="1:31" ht="27" customHeight="1" thickBot="1" x14ac:dyDescent="0.3">
      <c r="A71" s="2"/>
      <c r="B71" s="2"/>
      <c r="C71" s="2"/>
      <c r="D71" s="2"/>
      <c r="E71" s="2"/>
      <c r="F71" s="2"/>
      <c r="G71" s="2"/>
      <c r="H71" s="2"/>
      <c r="I71" s="2"/>
      <c r="J71" s="108" t="s">
        <v>62</v>
      </c>
      <c r="K71" s="377">
        <f>SUM(G68,P26,Y26)</f>
        <v>15525776</v>
      </c>
      <c r="L71" s="378"/>
      <c r="M71" s="109">
        <f>SUM(G4:G12,G16:G22,Y20:Y21)</f>
        <v>4935614</v>
      </c>
      <c r="N71" s="110">
        <f>SUM(G27:G32,G35:G40,P4:P15,P18:P25,Y4:Y7,Y15:Y16,Y22:Y23)</f>
        <v>8000313</v>
      </c>
      <c r="O71" s="109">
        <f>SUM(G47:G52,G55:G64,Y24)</f>
        <v>2589849</v>
      </c>
      <c r="P71" s="111">
        <f>SUM(M71:O71)</f>
        <v>15525776</v>
      </c>
      <c r="R71" s="112"/>
      <c r="S71" s="113"/>
      <c r="T71" s="2"/>
      <c r="U71" s="2"/>
      <c r="V71" s="2"/>
      <c r="W71" s="2"/>
      <c r="X71" s="2"/>
      <c r="Y71" s="2"/>
    </row>
    <row r="72" spans="1:31" ht="13.5" thickBot="1" x14ac:dyDescent="0.25"/>
    <row r="73" spans="1:31" ht="36" customHeight="1" thickBot="1" x14ac:dyDescent="0.25">
      <c r="A73" s="365" t="s">
        <v>63</v>
      </c>
      <c r="B73" s="366"/>
      <c r="C73" s="366"/>
      <c r="D73" s="366"/>
      <c r="E73" s="366"/>
      <c r="F73" s="366"/>
      <c r="G73" s="366"/>
      <c r="H73" s="366"/>
      <c r="I73" s="366"/>
      <c r="J73" s="366"/>
      <c r="K73" s="366"/>
      <c r="L73" s="366"/>
      <c r="M73" s="366"/>
      <c r="N73" s="366"/>
      <c r="O73" s="366"/>
      <c r="P73" s="366"/>
      <c r="Q73" s="366"/>
      <c r="R73" s="366"/>
      <c r="S73" s="366"/>
      <c r="T73" s="366"/>
      <c r="U73" s="366"/>
      <c r="V73" s="366"/>
      <c r="W73" s="366"/>
      <c r="X73" s="366"/>
      <c r="Y73" s="366"/>
      <c r="Z73" s="366"/>
      <c r="AA73" s="366"/>
      <c r="AB73" s="366"/>
      <c r="AC73" s="366"/>
      <c r="AD73" s="366"/>
      <c r="AE73" s="367"/>
    </row>
    <row r="74" spans="1:31" ht="286.5" customHeight="1" x14ac:dyDescent="0.2">
      <c r="A74" s="381" t="s">
        <v>351</v>
      </c>
      <c r="B74" s="360"/>
      <c r="C74" s="360"/>
      <c r="D74" s="360"/>
      <c r="E74" s="360"/>
      <c r="F74" s="360"/>
      <c r="G74" s="360"/>
      <c r="H74" s="360"/>
      <c r="I74" s="360"/>
      <c r="J74" s="360"/>
      <c r="K74" s="360"/>
      <c r="L74" s="360"/>
      <c r="M74" s="360"/>
      <c r="N74" s="360"/>
      <c r="O74" s="360"/>
      <c r="P74" s="360"/>
      <c r="Q74" s="360"/>
      <c r="R74" s="360"/>
      <c r="S74" s="360"/>
      <c r="T74" s="360"/>
      <c r="U74" s="360"/>
      <c r="V74" s="360"/>
      <c r="W74" s="360"/>
      <c r="X74" s="360"/>
      <c r="Y74" s="360"/>
      <c r="Z74" s="360"/>
      <c r="AA74" s="360"/>
      <c r="AB74" s="360"/>
      <c r="AC74" s="360"/>
      <c r="AD74" s="360"/>
      <c r="AE74" s="360"/>
    </row>
    <row r="75" spans="1:31" ht="222.75" customHeight="1" x14ac:dyDescent="0.2">
      <c r="A75" s="361"/>
      <c r="B75" s="360"/>
      <c r="C75" s="360"/>
      <c r="D75" s="360"/>
      <c r="E75" s="360"/>
      <c r="F75" s="360"/>
      <c r="G75" s="360"/>
      <c r="H75" s="360"/>
      <c r="I75" s="360"/>
      <c r="J75" s="360"/>
      <c r="K75" s="360"/>
      <c r="L75" s="360"/>
      <c r="M75" s="360"/>
      <c r="N75" s="360"/>
      <c r="O75" s="360"/>
      <c r="P75" s="360"/>
      <c r="Q75" s="360"/>
      <c r="R75" s="360"/>
      <c r="S75" s="360"/>
      <c r="T75" s="360"/>
      <c r="U75" s="360"/>
      <c r="V75" s="360"/>
      <c r="W75" s="360"/>
      <c r="X75" s="360"/>
      <c r="Y75" s="360"/>
      <c r="Z75" s="360"/>
      <c r="AA75" s="360"/>
      <c r="AB75" s="360"/>
      <c r="AC75" s="360"/>
      <c r="AD75" s="360"/>
      <c r="AE75" s="360"/>
    </row>
    <row r="76" spans="1:31" ht="109.5" customHeight="1" x14ac:dyDescent="0.2">
      <c r="A76" s="361"/>
      <c r="B76" s="360"/>
      <c r="C76" s="360"/>
      <c r="D76" s="360"/>
      <c r="E76" s="360"/>
      <c r="F76" s="360"/>
      <c r="G76" s="360"/>
      <c r="H76" s="360"/>
      <c r="I76" s="360"/>
      <c r="J76" s="360"/>
      <c r="K76" s="360"/>
      <c r="L76" s="360"/>
      <c r="M76" s="360"/>
      <c r="N76" s="360"/>
      <c r="O76" s="360"/>
      <c r="P76" s="360"/>
      <c r="Q76" s="360"/>
      <c r="R76" s="360"/>
      <c r="S76" s="360"/>
      <c r="T76" s="360"/>
      <c r="U76" s="360"/>
      <c r="V76" s="360"/>
      <c r="W76" s="360"/>
      <c r="X76" s="360"/>
      <c r="Y76" s="360"/>
      <c r="Z76" s="360"/>
      <c r="AA76" s="360"/>
      <c r="AB76" s="360"/>
      <c r="AC76" s="360"/>
      <c r="AD76" s="360"/>
      <c r="AE76" s="360"/>
    </row>
    <row r="77" spans="1:31" ht="148.5" customHeight="1" x14ac:dyDescent="0.2">
      <c r="A77" s="361"/>
      <c r="B77" s="360"/>
      <c r="C77" s="360"/>
      <c r="D77" s="360"/>
      <c r="E77" s="360"/>
      <c r="F77" s="360"/>
      <c r="G77" s="360"/>
      <c r="H77" s="360"/>
      <c r="I77" s="360"/>
      <c r="J77" s="360"/>
      <c r="K77" s="360"/>
      <c r="L77" s="360"/>
      <c r="M77" s="360"/>
      <c r="N77" s="360"/>
      <c r="O77" s="360"/>
      <c r="P77" s="360"/>
      <c r="Q77" s="360"/>
      <c r="R77" s="360"/>
      <c r="S77" s="360"/>
      <c r="T77" s="360"/>
      <c r="U77" s="360"/>
      <c r="V77" s="360"/>
      <c r="W77" s="360"/>
      <c r="X77" s="360"/>
      <c r="Y77" s="360"/>
      <c r="Z77" s="360"/>
      <c r="AA77" s="360"/>
      <c r="AB77" s="360"/>
      <c r="AC77" s="360"/>
      <c r="AD77" s="360"/>
      <c r="AE77" s="360"/>
    </row>
    <row r="78" spans="1:31" ht="90" customHeight="1" x14ac:dyDescent="0.2">
      <c r="A78" s="361"/>
      <c r="B78" s="360"/>
      <c r="C78" s="360"/>
      <c r="D78" s="360"/>
      <c r="E78" s="360"/>
      <c r="F78" s="360"/>
      <c r="G78" s="360"/>
      <c r="H78" s="360"/>
      <c r="I78" s="360"/>
      <c r="J78" s="360"/>
      <c r="K78" s="360"/>
      <c r="L78" s="360"/>
      <c r="M78" s="360"/>
      <c r="N78" s="360"/>
      <c r="O78" s="360"/>
      <c r="P78" s="360"/>
      <c r="Q78" s="360"/>
      <c r="R78" s="360"/>
      <c r="S78" s="360"/>
      <c r="T78" s="360"/>
      <c r="U78" s="360"/>
      <c r="V78" s="360"/>
      <c r="W78" s="360"/>
      <c r="X78" s="360"/>
      <c r="Y78" s="360"/>
      <c r="Z78" s="360"/>
      <c r="AA78" s="360"/>
      <c r="AB78" s="360"/>
      <c r="AC78" s="360"/>
      <c r="AD78" s="360"/>
      <c r="AE78" s="360"/>
    </row>
    <row r="79" spans="1:31" ht="156" customHeight="1" x14ac:dyDescent="0.2">
      <c r="A79" s="361"/>
      <c r="B79" s="360"/>
      <c r="C79" s="360"/>
      <c r="D79" s="360"/>
      <c r="E79" s="360"/>
      <c r="F79" s="360"/>
      <c r="G79" s="360"/>
      <c r="H79" s="360"/>
      <c r="I79" s="360"/>
      <c r="J79" s="360"/>
      <c r="K79" s="360"/>
      <c r="L79" s="360"/>
      <c r="M79" s="360"/>
      <c r="N79" s="360"/>
      <c r="O79" s="360"/>
      <c r="P79" s="360"/>
      <c r="Q79" s="360"/>
      <c r="R79" s="360"/>
      <c r="S79" s="360"/>
      <c r="T79" s="360"/>
      <c r="U79" s="360"/>
      <c r="V79" s="360"/>
      <c r="W79" s="360"/>
      <c r="X79" s="360"/>
      <c r="Y79" s="360"/>
      <c r="Z79" s="360"/>
      <c r="AA79" s="360"/>
      <c r="AB79" s="360"/>
      <c r="AC79" s="360"/>
      <c r="AD79" s="360"/>
      <c r="AE79" s="360"/>
    </row>
    <row r="80" spans="1:31" ht="258" customHeight="1" x14ac:dyDescent="0.2">
      <c r="A80" s="361"/>
      <c r="B80" s="360"/>
      <c r="C80" s="360"/>
      <c r="D80" s="360"/>
      <c r="E80" s="360"/>
      <c r="F80" s="360"/>
      <c r="G80" s="360"/>
      <c r="H80" s="360"/>
      <c r="I80" s="360"/>
      <c r="J80" s="360"/>
      <c r="K80" s="360"/>
      <c r="L80" s="360"/>
      <c r="M80" s="360"/>
      <c r="N80" s="360"/>
      <c r="O80" s="360"/>
      <c r="P80" s="360"/>
      <c r="Q80" s="360"/>
      <c r="R80" s="360"/>
      <c r="S80" s="360"/>
      <c r="T80" s="360"/>
      <c r="U80" s="360"/>
      <c r="V80" s="360"/>
      <c r="W80" s="360"/>
      <c r="X80" s="360"/>
      <c r="Y80" s="360"/>
      <c r="Z80" s="360"/>
      <c r="AA80" s="360"/>
      <c r="AB80" s="360"/>
      <c r="AC80" s="360"/>
      <c r="AD80" s="360"/>
      <c r="AE80" s="360"/>
    </row>
    <row r="81" spans="1:21" ht="18.75" x14ac:dyDescent="0.2">
      <c r="S81" s="114"/>
      <c r="T81" s="115"/>
      <c r="U81" s="114"/>
    </row>
    <row r="82" spans="1:21" ht="18.75" x14ac:dyDescent="0.2">
      <c r="S82" s="114"/>
      <c r="T82" s="115"/>
      <c r="U82" s="114"/>
    </row>
    <row r="83" spans="1:21" ht="18.75" x14ac:dyDescent="0.2">
      <c r="A83" s="362"/>
      <c r="S83" s="114"/>
      <c r="T83" s="115"/>
      <c r="U83" s="114"/>
    </row>
    <row r="84" spans="1:21" ht="18.75" x14ac:dyDescent="0.2">
      <c r="A84" s="362"/>
      <c r="S84" s="114"/>
      <c r="T84" s="115"/>
      <c r="U84" s="114"/>
    </row>
    <row r="85" spans="1:21" ht="18.75" x14ac:dyDescent="0.2">
      <c r="A85" s="362"/>
      <c r="S85" s="114"/>
      <c r="T85" s="115"/>
      <c r="U85" s="114"/>
    </row>
    <row r="86" spans="1:21" ht="18.75" x14ac:dyDescent="0.25">
      <c r="A86" s="117"/>
      <c r="S86" s="114"/>
      <c r="T86" s="115"/>
      <c r="U86" s="114"/>
    </row>
    <row r="87" spans="1:21" ht="18.75" x14ac:dyDescent="0.25">
      <c r="A87" s="117"/>
      <c r="S87" s="114"/>
      <c r="T87" s="115"/>
      <c r="U87" s="114"/>
    </row>
    <row r="88" spans="1:21" ht="18.75" x14ac:dyDescent="0.25">
      <c r="A88" s="116"/>
      <c r="S88" s="114"/>
      <c r="T88" s="115"/>
      <c r="U88" s="114"/>
    </row>
    <row r="89" spans="1:21" ht="18.75" x14ac:dyDescent="0.2">
      <c r="A89" s="362" t="s">
        <v>64</v>
      </c>
      <c r="B89" s="364"/>
      <c r="S89" s="114"/>
      <c r="T89" s="115"/>
      <c r="U89" s="114"/>
    </row>
    <row r="90" spans="1:21" ht="18.75" x14ac:dyDescent="0.2">
      <c r="A90" s="363"/>
      <c r="B90" s="364"/>
      <c r="S90" s="114"/>
      <c r="T90" s="115"/>
      <c r="U90" s="114"/>
    </row>
    <row r="91" spans="1:21" ht="18.75" x14ac:dyDescent="0.2">
      <c r="A91" s="363"/>
      <c r="B91" s="364"/>
      <c r="S91" s="114"/>
      <c r="T91" s="115"/>
      <c r="U91" s="114"/>
    </row>
    <row r="92" spans="1:21" ht="18.75" x14ac:dyDescent="0.25">
      <c r="A92" s="117"/>
      <c r="B92" s="118"/>
      <c r="S92" s="114"/>
      <c r="T92" s="115"/>
      <c r="U92" s="114"/>
    </row>
    <row r="93" spans="1:21" ht="12.75" customHeight="1" x14ac:dyDescent="0.25">
      <c r="A93" s="119"/>
    </row>
    <row r="94" spans="1:21" ht="12.75" customHeight="1" x14ac:dyDescent="0.2">
      <c r="A94" s="353" t="s">
        <v>65</v>
      </c>
    </row>
    <row r="95" spans="1:21" ht="12.75" customHeight="1" x14ac:dyDescent="0.2">
      <c r="A95" s="354"/>
    </row>
    <row r="96" spans="1:21" ht="12.75" customHeight="1" x14ac:dyDescent="0.2">
      <c r="A96" s="354"/>
    </row>
    <row r="97" spans="1:1" ht="249.75" customHeight="1" x14ac:dyDescent="0.2">
      <c r="A97" s="120"/>
    </row>
    <row r="98" spans="1:1" x14ac:dyDescent="0.2">
      <c r="A98" s="121"/>
    </row>
    <row r="99" spans="1:1" x14ac:dyDescent="0.2">
      <c r="A99" s="121"/>
    </row>
    <row r="100" spans="1:1" x14ac:dyDescent="0.2">
      <c r="A100" s="121"/>
    </row>
    <row r="101" spans="1:1" x14ac:dyDescent="0.2">
      <c r="A101" s="121"/>
    </row>
    <row r="102" spans="1:1" x14ac:dyDescent="0.2">
      <c r="A102" s="121"/>
    </row>
    <row r="103" spans="1:1" x14ac:dyDescent="0.2">
      <c r="A103" s="121"/>
    </row>
    <row r="104" spans="1:1" x14ac:dyDescent="0.2">
      <c r="A104" s="121"/>
    </row>
    <row r="139" spans="6:14" x14ac:dyDescent="0.2">
      <c r="J139" s="3" t="s">
        <v>66</v>
      </c>
      <c r="K139" s="3" t="s">
        <v>67</v>
      </c>
    </row>
    <row r="140" spans="6:14" s="122" customFormat="1" x14ac:dyDescent="0.2">
      <c r="F140" s="122">
        <v>0</v>
      </c>
      <c r="G140" s="122">
        <v>0</v>
      </c>
      <c r="H140" s="122">
        <v>0</v>
      </c>
      <c r="I140" s="122">
        <v>0</v>
      </c>
      <c r="J140" s="122">
        <v>0</v>
      </c>
      <c r="K140" s="122">
        <v>0</v>
      </c>
      <c r="L140" s="122">
        <v>0</v>
      </c>
      <c r="M140" s="122">
        <v>0</v>
      </c>
      <c r="N140" s="122" t="str">
        <f>+CONCATENATE(G140,"VEHICULO",M140)</f>
        <v>0VEHICULO0</v>
      </c>
    </row>
    <row r="141" spans="6:14" s="122" customFormat="1" x14ac:dyDescent="0.2">
      <c r="F141" s="122" t="s">
        <v>68</v>
      </c>
      <c r="G141" s="122" t="s">
        <v>69</v>
      </c>
      <c r="H141" s="122" t="s">
        <v>14</v>
      </c>
      <c r="I141" s="123">
        <v>582964</v>
      </c>
      <c r="J141" s="123" t="s">
        <v>70</v>
      </c>
      <c r="K141" s="124">
        <v>4</v>
      </c>
      <c r="L141" s="122" t="s">
        <v>71</v>
      </c>
      <c r="M141" s="122" t="s">
        <v>72</v>
      </c>
      <c r="N141" s="122" t="str">
        <f t="shared" ref="N141:N187" si="5">+CONCATENATE(G141,F141)</f>
        <v>1.40m³-15H-4OP</v>
      </c>
    </row>
    <row r="142" spans="6:14" s="122" customFormat="1" x14ac:dyDescent="0.2">
      <c r="F142" s="122" t="s">
        <v>73</v>
      </c>
      <c r="G142" s="122" t="s">
        <v>74</v>
      </c>
      <c r="H142" s="122" t="s">
        <v>21</v>
      </c>
      <c r="I142" s="123">
        <v>514916</v>
      </c>
      <c r="J142" s="123" t="s">
        <v>70</v>
      </c>
      <c r="K142" s="124">
        <v>3</v>
      </c>
      <c r="L142" s="122" t="s">
        <v>75</v>
      </c>
      <c r="M142" s="122" t="s">
        <v>72</v>
      </c>
      <c r="N142" s="122" t="str">
        <f t="shared" si="5"/>
        <v>2.40m³-15H-3OP</v>
      </c>
    </row>
    <row r="143" spans="6:14" s="122" customFormat="1" x14ac:dyDescent="0.2">
      <c r="F143" s="122" t="s">
        <v>76</v>
      </c>
      <c r="G143" s="122" t="s">
        <v>77</v>
      </c>
      <c r="H143" s="122" t="s">
        <v>78</v>
      </c>
      <c r="I143" s="123">
        <v>448638</v>
      </c>
      <c r="J143" s="123" t="s">
        <v>70</v>
      </c>
      <c r="K143" s="124">
        <v>2</v>
      </c>
      <c r="L143" s="122" t="s">
        <v>79</v>
      </c>
      <c r="M143" s="122" t="s">
        <v>72</v>
      </c>
      <c r="N143" s="122" t="str">
        <f t="shared" si="5"/>
        <v>3.40m³-15H-2OP</v>
      </c>
    </row>
    <row r="144" spans="6:14" s="122" customFormat="1" x14ac:dyDescent="0.2">
      <c r="F144" s="122" t="s">
        <v>80</v>
      </c>
      <c r="G144" s="122" t="s">
        <v>81</v>
      </c>
      <c r="H144" s="122" t="s">
        <v>82</v>
      </c>
      <c r="I144" s="123">
        <v>381163</v>
      </c>
      <c r="J144" s="123" t="s">
        <v>70</v>
      </c>
      <c r="K144" s="124">
        <v>1</v>
      </c>
      <c r="L144" s="122" t="s">
        <v>83</v>
      </c>
      <c r="M144" s="122" t="s">
        <v>72</v>
      </c>
      <c r="N144" s="122" t="str">
        <f t="shared" si="5"/>
        <v>4.40m³-15H-1OP</v>
      </c>
    </row>
    <row r="145" spans="6:14" s="122" customFormat="1" x14ac:dyDescent="0.2">
      <c r="F145" s="122" t="s">
        <v>84</v>
      </c>
      <c r="G145" s="122" t="s">
        <v>85</v>
      </c>
      <c r="H145" s="122" t="s">
        <v>86</v>
      </c>
      <c r="I145" s="123">
        <v>321680</v>
      </c>
      <c r="J145" s="123" t="s">
        <v>70</v>
      </c>
      <c r="K145" s="124">
        <v>0</v>
      </c>
      <c r="L145" s="122" t="s">
        <v>87</v>
      </c>
      <c r="M145" s="122" t="s">
        <v>72</v>
      </c>
      <c r="N145" s="122" t="str">
        <f t="shared" si="5"/>
        <v>5.40m³-15H-0OP</v>
      </c>
    </row>
    <row r="146" spans="6:14" s="122" customFormat="1" x14ac:dyDescent="0.2">
      <c r="F146" s="122" t="s">
        <v>88</v>
      </c>
      <c r="G146" s="122" t="s">
        <v>89</v>
      </c>
      <c r="H146" s="122" t="s">
        <v>90</v>
      </c>
      <c r="I146" s="123">
        <v>509192</v>
      </c>
      <c r="J146" s="123" t="s">
        <v>91</v>
      </c>
      <c r="K146" s="124">
        <v>4</v>
      </c>
      <c r="L146" s="122" t="s">
        <v>92</v>
      </c>
      <c r="M146" s="122" t="s">
        <v>72</v>
      </c>
      <c r="N146" s="122" t="str">
        <f t="shared" si="5"/>
        <v>6.40m³-9H-4OP</v>
      </c>
    </row>
    <row r="147" spans="6:14" s="122" customFormat="1" x14ac:dyDescent="0.2">
      <c r="F147" s="122" t="s">
        <v>93</v>
      </c>
      <c r="G147" s="122" t="s">
        <v>94</v>
      </c>
      <c r="H147" s="122" t="s">
        <v>95</v>
      </c>
      <c r="I147" s="123">
        <v>450204</v>
      </c>
      <c r="J147" s="123" t="s">
        <v>91</v>
      </c>
      <c r="K147" s="124">
        <v>3</v>
      </c>
      <c r="L147" s="122" t="s">
        <v>96</v>
      </c>
      <c r="M147" s="122" t="s">
        <v>72</v>
      </c>
      <c r="N147" s="122" t="str">
        <f t="shared" si="5"/>
        <v>7.40m³-9H-3OP</v>
      </c>
    </row>
    <row r="148" spans="6:14" s="122" customFormat="1" x14ac:dyDescent="0.2">
      <c r="F148" s="122" t="s">
        <v>97</v>
      </c>
      <c r="G148" s="122" t="s">
        <v>98</v>
      </c>
      <c r="H148" s="122" t="s">
        <v>99</v>
      </c>
      <c r="I148" s="123">
        <v>392186</v>
      </c>
      <c r="J148" s="123" t="s">
        <v>91</v>
      </c>
      <c r="K148" s="124">
        <v>2</v>
      </c>
      <c r="L148" s="122" t="s">
        <v>100</v>
      </c>
      <c r="M148" s="122" t="s">
        <v>72</v>
      </c>
      <c r="N148" s="122" t="str">
        <f t="shared" si="5"/>
        <v>8.40m³-9H-2OP</v>
      </c>
    </row>
    <row r="149" spans="6:14" s="122" customFormat="1" x14ac:dyDescent="0.2">
      <c r="F149" s="122" t="s">
        <v>101</v>
      </c>
      <c r="G149" s="122" t="s">
        <v>102</v>
      </c>
      <c r="H149" s="122" t="s">
        <v>103</v>
      </c>
      <c r="I149" s="123">
        <v>329397</v>
      </c>
      <c r="J149" s="123" t="s">
        <v>91</v>
      </c>
      <c r="K149" s="124">
        <v>1</v>
      </c>
      <c r="L149" s="122" t="s">
        <v>104</v>
      </c>
      <c r="M149" s="122" t="s">
        <v>72</v>
      </c>
      <c r="N149" s="122" t="str">
        <f t="shared" si="5"/>
        <v>9.40m³-9H-1OP</v>
      </c>
    </row>
    <row r="150" spans="6:14" s="122" customFormat="1" x14ac:dyDescent="0.2">
      <c r="F150" s="122" t="s">
        <v>105</v>
      </c>
      <c r="G150" s="122" t="s">
        <v>106</v>
      </c>
      <c r="H150" s="122" t="s">
        <v>107</v>
      </c>
      <c r="I150" s="123">
        <v>280919</v>
      </c>
      <c r="J150" s="123" t="s">
        <v>91</v>
      </c>
      <c r="K150" s="124">
        <v>0</v>
      </c>
      <c r="L150" s="122" t="s">
        <v>108</v>
      </c>
      <c r="M150" s="122" t="s">
        <v>72</v>
      </c>
      <c r="N150" s="122" t="str">
        <f t="shared" si="5"/>
        <v>10.40m³-9H-0OP</v>
      </c>
    </row>
    <row r="151" spans="6:14" s="122" customFormat="1" x14ac:dyDescent="0.2">
      <c r="F151" s="122" t="s">
        <v>109</v>
      </c>
      <c r="G151" s="122" t="s">
        <v>110</v>
      </c>
      <c r="H151" s="122" t="s">
        <v>111</v>
      </c>
      <c r="I151" s="123">
        <v>420585</v>
      </c>
      <c r="J151" s="123" t="s">
        <v>112</v>
      </c>
      <c r="K151" s="124">
        <v>4</v>
      </c>
      <c r="L151" s="122" t="s">
        <v>113</v>
      </c>
      <c r="M151" s="122" t="s">
        <v>72</v>
      </c>
      <c r="N151" s="122" t="str">
        <f t="shared" si="5"/>
        <v>11.40m³-4H-4OP</v>
      </c>
    </row>
    <row r="152" spans="6:14" s="122" customFormat="1" x14ac:dyDescent="0.2">
      <c r="F152" s="122" t="s">
        <v>114</v>
      </c>
      <c r="G152" s="122" t="s">
        <v>115</v>
      </c>
      <c r="H152" s="122" t="s">
        <v>116</v>
      </c>
      <c r="I152" s="123">
        <v>369327</v>
      </c>
      <c r="J152" s="123" t="s">
        <v>112</v>
      </c>
      <c r="K152" s="124">
        <v>3</v>
      </c>
      <c r="L152" s="122" t="s">
        <v>117</v>
      </c>
      <c r="M152" s="122" t="s">
        <v>72</v>
      </c>
      <c r="N152" s="122" t="str">
        <f t="shared" si="5"/>
        <v>12.40m³-4H-3OP</v>
      </c>
    </row>
    <row r="153" spans="6:14" s="122" customFormat="1" x14ac:dyDescent="0.2">
      <c r="F153" s="122" t="s">
        <v>118</v>
      </c>
      <c r="G153" s="122" t="s">
        <v>119</v>
      </c>
      <c r="H153" s="122" t="s">
        <v>120</v>
      </c>
      <c r="I153" s="123">
        <v>323463</v>
      </c>
      <c r="J153" s="123" t="s">
        <v>112</v>
      </c>
      <c r="K153" s="124">
        <v>2</v>
      </c>
      <c r="L153" s="122" t="s">
        <v>121</v>
      </c>
      <c r="M153" s="122" t="s">
        <v>72</v>
      </c>
      <c r="N153" s="122" t="str">
        <f t="shared" si="5"/>
        <v>13.40m³-4H-2OP</v>
      </c>
    </row>
    <row r="154" spans="6:14" s="122" customFormat="1" x14ac:dyDescent="0.2">
      <c r="F154" s="122" t="s">
        <v>122</v>
      </c>
      <c r="G154" s="122" t="s">
        <v>123</v>
      </c>
      <c r="H154" s="122" t="s">
        <v>124</v>
      </c>
      <c r="I154" s="123">
        <v>270330</v>
      </c>
      <c r="J154" s="123" t="s">
        <v>112</v>
      </c>
      <c r="K154" s="124">
        <v>1</v>
      </c>
      <c r="L154" s="122" t="s">
        <v>125</v>
      </c>
      <c r="M154" s="122" t="s">
        <v>72</v>
      </c>
      <c r="N154" s="122" t="str">
        <f t="shared" si="5"/>
        <v>14.40m³-4H-1OP</v>
      </c>
    </row>
    <row r="155" spans="6:14" s="122" customFormat="1" x14ac:dyDescent="0.2">
      <c r="F155" s="122" t="s">
        <v>126</v>
      </c>
      <c r="G155" s="122" t="s">
        <v>127</v>
      </c>
      <c r="H155" s="122" t="s">
        <v>128</v>
      </c>
      <c r="I155" s="123">
        <v>221709</v>
      </c>
      <c r="J155" s="123" t="s">
        <v>112</v>
      </c>
      <c r="K155" s="124">
        <v>0</v>
      </c>
      <c r="L155" s="122" t="s">
        <v>129</v>
      </c>
      <c r="M155" s="122" t="s">
        <v>72</v>
      </c>
      <c r="N155" s="122" t="str">
        <f t="shared" si="5"/>
        <v>15.40m³-4H-0OP</v>
      </c>
    </row>
    <row r="156" spans="6:14" s="122" customFormat="1" x14ac:dyDescent="0.2">
      <c r="F156" s="122" t="s">
        <v>130</v>
      </c>
      <c r="G156" s="122" t="s">
        <v>131</v>
      </c>
      <c r="H156" s="122" t="s">
        <v>19</v>
      </c>
      <c r="I156" s="123">
        <v>501739</v>
      </c>
      <c r="J156" s="123" t="s">
        <v>70</v>
      </c>
      <c r="K156" s="124">
        <v>4</v>
      </c>
      <c r="L156" s="122" t="s">
        <v>132</v>
      </c>
      <c r="M156" s="122" t="s">
        <v>72</v>
      </c>
      <c r="N156" s="122" t="str">
        <f t="shared" si="5"/>
        <v>16.25m³-15H-4OP</v>
      </c>
    </row>
    <row r="157" spans="6:14" s="122" customFormat="1" x14ac:dyDescent="0.2">
      <c r="F157" s="122" t="s">
        <v>133</v>
      </c>
      <c r="G157" s="122" t="s">
        <v>134</v>
      </c>
      <c r="H157" s="122" t="s">
        <v>17</v>
      </c>
      <c r="I157" s="123">
        <v>443323</v>
      </c>
      <c r="J157" s="123" t="s">
        <v>70</v>
      </c>
      <c r="K157" s="124">
        <v>3</v>
      </c>
      <c r="L157" s="122" t="s">
        <v>135</v>
      </c>
      <c r="M157" s="122" t="s">
        <v>72</v>
      </c>
      <c r="N157" s="122" t="str">
        <f t="shared" si="5"/>
        <v>17.25m³-15H-3OP</v>
      </c>
    </row>
    <row r="158" spans="6:14" s="122" customFormat="1" x14ac:dyDescent="0.2">
      <c r="F158" s="122" t="s">
        <v>136</v>
      </c>
      <c r="G158" s="122" t="s">
        <v>137</v>
      </c>
      <c r="H158" s="122" t="s">
        <v>138</v>
      </c>
      <c r="I158" s="123">
        <v>388652</v>
      </c>
      <c r="J158" s="123" t="s">
        <v>70</v>
      </c>
      <c r="K158" s="124">
        <v>2</v>
      </c>
      <c r="L158" s="122" t="s">
        <v>139</v>
      </c>
      <c r="M158" s="122" t="s">
        <v>72</v>
      </c>
      <c r="N158" s="122" t="str">
        <f t="shared" si="5"/>
        <v>18.25m³-15H-2OP</v>
      </c>
    </row>
    <row r="159" spans="6:14" s="122" customFormat="1" x14ac:dyDescent="0.2">
      <c r="F159" s="122" t="s">
        <v>140</v>
      </c>
      <c r="G159" s="122" t="s">
        <v>141</v>
      </c>
      <c r="H159" s="122" t="s">
        <v>142</v>
      </c>
      <c r="I159" s="123">
        <v>323189</v>
      </c>
      <c r="J159" s="123" t="s">
        <v>70</v>
      </c>
      <c r="K159" s="124">
        <v>1</v>
      </c>
      <c r="L159" s="122" t="s">
        <v>143</v>
      </c>
      <c r="M159" s="122" t="s">
        <v>72</v>
      </c>
      <c r="N159" s="122" t="str">
        <f t="shared" si="5"/>
        <v>19.25m³-15H-1OP</v>
      </c>
    </row>
    <row r="160" spans="6:14" s="122" customFormat="1" x14ac:dyDescent="0.2">
      <c r="F160" s="122" t="s">
        <v>144</v>
      </c>
      <c r="G160" s="122" t="s">
        <v>145</v>
      </c>
      <c r="H160" s="122" t="s">
        <v>146</v>
      </c>
      <c r="I160" s="123">
        <v>256051</v>
      </c>
      <c r="J160" s="123" t="s">
        <v>70</v>
      </c>
      <c r="K160" s="124">
        <v>0</v>
      </c>
      <c r="L160" s="122" t="s">
        <v>147</v>
      </c>
      <c r="M160" s="122" t="s">
        <v>72</v>
      </c>
      <c r="N160" s="122" t="str">
        <f t="shared" si="5"/>
        <v>20.25m³-15H-0OP</v>
      </c>
    </row>
    <row r="161" spans="6:14" s="122" customFormat="1" x14ac:dyDescent="0.2">
      <c r="F161" s="122" t="s">
        <v>148</v>
      </c>
      <c r="G161" s="122" t="s">
        <v>149</v>
      </c>
      <c r="H161" s="122" t="s">
        <v>150</v>
      </c>
      <c r="I161" s="123">
        <v>433978</v>
      </c>
      <c r="J161" s="123" t="s">
        <v>91</v>
      </c>
      <c r="K161" s="124">
        <v>4</v>
      </c>
      <c r="L161" s="122" t="s">
        <v>151</v>
      </c>
      <c r="M161" s="122" t="s">
        <v>72</v>
      </c>
      <c r="N161" s="122" t="str">
        <f t="shared" si="5"/>
        <v>21.25m³-9H-4OP</v>
      </c>
    </row>
    <row r="162" spans="6:14" s="122" customFormat="1" x14ac:dyDescent="0.2">
      <c r="F162" s="122" t="s">
        <v>152</v>
      </c>
      <c r="G162" s="122" t="s">
        <v>153</v>
      </c>
      <c r="H162" s="122" t="s">
        <v>154</v>
      </c>
      <c r="I162" s="123">
        <v>386383</v>
      </c>
      <c r="J162" s="123" t="s">
        <v>91</v>
      </c>
      <c r="K162" s="124">
        <v>3</v>
      </c>
      <c r="L162" s="122" t="s">
        <v>155</v>
      </c>
      <c r="M162" s="122" t="s">
        <v>72</v>
      </c>
      <c r="N162" s="122" t="str">
        <f t="shared" si="5"/>
        <v>22.25m³-9H-3OP</v>
      </c>
    </row>
    <row r="163" spans="6:14" s="122" customFormat="1" x14ac:dyDescent="0.2">
      <c r="F163" s="122" t="s">
        <v>156</v>
      </c>
      <c r="G163" s="122" t="s">
        <v>157</v>
      </c>
      <c r="H163" s="122" t="s">
        <v>158</v>
      </c>
      <c r="I163" s="123">
        <v>345928</v>
      </c>
      <c r="J163" s="123" t="s">
        <v>91</v>
      </c>
      <c r="K163" s="124">
        <v>2</v>
      </c>
      <c r="L163" s="122" t="s">
        <v>159</v>
      </c>
      <c r="M163" s="122" t="s">
        <v>72</v>
      </c>
      <c r="N163" s="122" t="str">
        <f t="shared" si="5"/>
        <v>23.25m³-9H-2OP</v>
      </c>
    </row>
    <row r="164" spans="6:14" s="122" customFormat="1" x14ac:dyDescent="0.2">
      <c r="F164" s="122" t="s">
        <v>160</v>
      </c>
      <c r="G164" s="122" t="s">
        <v>161</v>
      </c>
      <c r="H164" s="122" t="s">
        <v>162</v>
      </c>
      <c r="I164" s="123">
        <v>290841</v>
      </c>
      <c r="J164" s="123" t="s">
        <v>91</v>
      </c>
      <c r="K164" s="124">
        <v>1</v>
      </c>
      <c r="L164" s="122" t="s">
        <v>163</v>
      </c>
      <c r="M164" s="122" t="s">
        <v>72</v>
      </c>
      <c r="N164" s="122" t="str">
        <f t="shared" si="5"/>
        <v>24.25m³-9H-1OP</v>
      </c>
    </row>
    <row r="165" spans="6:14" s="122" customFormat="1" x14ac:dyDescent="0.2">
      <c r="F165" s="122" t="s">
        <v>164</v>
      </c>
      <c r="G165" s="122" t="s">
        <v>165</v>
      </c>
      <c r="H165" s="122" t="s">
        <v>166</v>
      </c>
      <c r="I165" s="123">
        <v>225849</v>
      </c>
      <c r="J165" s="123" t="s">
        <v>91</v>
      </c>
      <c r="K165" s="124">
        <v>0</v>
      </c>
      <c r="L165" s="122" t="s">
        <v>167</v>
      </c>
      <c r="M165" s="122" t="s">
        <v>72</v>
      </c>
      <c r="N165" s="122" t="str">
        <f t="shared" si="5"/>
        <v>25.25m³-9H-0OP</v>
      </c>
    </row>
    <row r="166" spans="6:14" s="122" customFormat="1" x14ac:dyDescent="0.2">
      <c r="F166" s="122" t="s">
        <v>168</v>
      </c>
      <c r="G166" s="122" t="s">
        <v>169</v>
      </c>
      <c r="H166" s="122" t="s">
        <v>170</v>
      </c>
      <c r="I166" s="123">
        <v>374201</v>
      </c>
      <c r="J166" s="123" t="s">
        <v>112</v>
      </c>
      <c r="K166" s="124">
        <v>4</v>
      </c>
      <c r="L166" s="122" t="s">
        <v>171</v>
      </c>
      <c r="M166" s="122" t="s">
        <v>72</v>
      </c>
      <c r="N166" s="122" t="str">
        <f t="shared" si="5"/>
        <v>26.25m³-4H-4OP</v>
      </c>
    </row>
    <row r="167" spans="6:14" s="122" customFormat="1" x14ac:dyDescent="0.2">
      <c r="F167" s="122" t="s">
        <v>172</v>
      </c>
      <c r="G167" s="122" t="s">
        <v>173</v>
      </c>
      <c r="H167" s="122" t="s">
        <v>174</v>
      </c>
      <c r="I167" s="123">
        <v>323876</v>
      </c>
      <c r="J167" s="123" t="s">
        <v>112</v>
      </c>
      <c r="K167" s="124">
        <v>3</v>
      </c>
      <c r="L167" s="122" t="s">
        <v>175</v>
      </c>
      <c r="M167" s="122" t="s">
        <v>72</v>
      </c>
      <c r="N167" s="122" t="str">
        <f t="shared" si="5"/>
        <v>27.25m³-4H-3OP</v>
      </c>
    </row>
    <row r="168" spans="6:14" s="122" customFormat="1" x14ac:dyDescent="0.2">
      <c r="F168" s="122" t="s">
        <v>176</v>
      </c>
      <c r="G168" s="122" t="s">
        <v>177</v>
      </c>
      <c r="H168" s="122" t="s">
        <v>178</v>
      </c>
      <c r="I168" s="123">
        <v>283531</v>
      </c>
      <c r="J168" s="123" t="s">
        <v>112</v>
      </c>
      <c r="K168" s="124">
        <v>2</v>
      </c>
      <c r="L168" s="122" t="s">
        <v>179</v>
      </c>
      <c r="M168" s="122" t="s">
        <v>72</v>
      </c>
      <c r="N168" s="122" t="str">
        <f t="shared" si="5"/>
        <v>28.25m³-4H-2OP</v>
      </c>
    </row>
    <row r="169" spans="6:14" s="122" customFormat="1" x14ac:dyDescent="0.2">
      <c r="F169" s="122" t="s">
        <v>180</v>
      </c>
      <c r="G169" s="122" t="s">
        <v>181</v>
      </c>
      <c r="H169" s="122" t="s">
        <v>182</v>
      </c>
      <c r="I169" s="123">
        <v>236854</v>
      </c>
      <c r="J169" s="123" t="s">
        <v>112</v>
      </c>
      <c r="K169" s="124">
        <v>1</v>
      </c>
      <c r="L169" s="122" t="s">
        <v>183</v>
      </c>
      <c r="M169" s="122" t="s">
        <v>72</v>
      </c>
      <c r="N169" s="122" t="str">
        <f t="shared" si="5"/>
        <v>29.25m³-4H-1OP</v>
      </c>
    </row>
    <row r="170" spans="6:14" s="122" customFormat="1" x14ac:dyDescent="0.2">
      <c r="F170" s="122" t="s">
        <v>184</v>
      </c>
      <c r="G170" s="122" t="s">
        <v>185</v>
      </c>
      <c r="H170" s="122" t="s">
        <v>186</v>
      </c>
      <c r="I170" s="123">
        <v>179940</v>
      </c>
      <c r="J170" s="123" t="s">
        <v>112</v>
      </c>
      <c r="K170" s="124">
        <v>0</v>
      </c>
      <c r="L170" s="122" t="s">
        <v>187</v>
      </c>
      <c r="M170" s="122" t="s">
        <v>72</v>
      </c>
      <c r="N170" s="122" t="str">
        <f t="shared" si="5"/>
        <v>30.25m³-4H-0OP</v>
      </c>
    </row>
    <row r="171" spans="6:14" s="122" customFormat="1" x14ac:dyDescent="0.2">
      <c r="F171" s="122" t="s">
        <v>188</v>
      </c>
      <c r="G171" s="122" t="s">
        <v>189</v>
      </c>
      <c r="H171" s="122" t="s">
        <v>23</v>
      </c>
      <c r="I171" s="123">
        <v>239262</v>
      </c>
      <c r="J171" s="123" t="s">
        <v>70</v>
      </c>
      <c r="K171" s="124">
        <v>0</v>
      </c>
      <c r="L171" s="122" t="s">
        <v>190</v>
      </c>
      <c r="M171" s="122" t="s">
        <v>72</v>
      </c>
      <c r="N171" s="122" t="str">
        <f t="shared" si="5"/>
        <v>31.FURGON-15H</v>
      </c>
    </row>
    <row r="172" spans="6:14" s="122" customFormat="1" x14ac:dyDescent="0.2">
      <c r="F172" s="122" t="s">
        <v>191</v>
      </c>
      <c r="G172" s="122" t="s">
        <v>192</v>
      </c>
      <c r="H172" s="122" t="s">
        <v>193</v>
      </c>
      <c r="I172" s="123">
        <v>214754</v>
      </c>
      <c r="J172" s="123" t="s">
        <v>91</v>
      </c>
      <c r="K172" s="124">
        <v>0</v>
      </c>
      <c r="L172" s="122" t="s">
        <v>194</v>
      </c>
      <c r="M172" s="122" t="s">
        <v>72</v>
      </c>
      <c r="N172" s="122" t="str">
        <f t="shared" si="5"/>
        <v>32.FURGON-9H</v>
      </c>
    </row>
    <row r="173" spans="6:14" s="122" customFormat="1" x14ac:dyDescent="0.2">
      <c r="F173" s="122" t="s">
        <v>195</v>
      </c>
      <c r="G173" s="122" t="s">
        <v>196</v>
      </c>
      <c r="H173" s="122" t="s">
        <v>197</v>
      </c>
      <c r="I173" s="123">
        <v>173120</v>
      </c>
      <c r="J173" s="123" t="s">
        <v>112</v>
      </c>
      <c r="K173" s="124">
        <v>0</v>
      </c>
      <c r="L173" s="122" t="s">
        <v>198</v>
      </c>
      <c r="M173" s="122" t="s">
        <v>72</v>
      </c>
      <c r="N173" s="122" t="str">
        <f t="shared" si="5"/>
        <v>33.FURGON-4H</v>
      </c>
    </row>
    <row r="174" spans="6:14" s="122" customFormat="1" x14ac:dyDescent="0.2">
      <c r="F174" s="122" t="s">
        <v>199</v>
      </c>
      <c r="G174" s="122" t="s">
        <v>200</v>
      </c>
      <c r="H174" s="122" t="s">
        <v>41</v>
      </c>
      <c r="I174" s="123">
        <v>373234</v>
      </c>
      <c r="J174" s="123" t="s">
        <v>70</v>
      </c>
      <c r="K174" s="124">
        <v>0</v>
      </c>
      <c r="L174" s="122" t="s">
        <v>201</v>
      </c>
      <c r="M174" s="122" t="s">
        <v>72</v>
      </c>
      <c r="N174" s="122" t="str">
        <f t="shared" si="5"/>
        <v>34.4X4-15H</v>
      </c>
    </row>
    <row r="175" spans="6:14" s="122" customFormat="1" x14ac:dyDescent="0.2">
      <c r="F175" s="122" t="s">
        <v>202</v>
      </c>
      <c r="G175" s="122" t="s">
        <v>203</v>
      </c>
      <c r="H175" s="122" t="s">
        <v>204</v>
      </c>
      <c r="I175" s="123">
        <v>242399</v>
      </c>
      <c r="J175" s="123" t="s">
        <v>91</v>
      </c>
      <c r="K175" s="124">
        <v>0</v>
      </c>
      <c r="L175" s="122" t="s">
        <v>205</v>
      </c>
      <c r="M175" s="122" t="s">
        <v>72</v>
      </c>
      <c r="N175" s="122" t="str">
        <f t="shared" si="5"/>
        <v>35.4X4-9H</v>
      </c>
    </row>
    <row r="176" spans="6:14" s="122" customFormat="1" x14ac:dyDescent="0.2">
      <c r="F176" s="122" t="s">
        <v>206</v>
      </c>
      <c r="G176" s="122" t="s">
        <v>207</v>
      </c>
      <c r="H176" s="122" t="s">
        <v>208</v>
      </c>
      <c r="I176" s="123">
        <v>195220</v>
      </c>
      <c r="J176" s="123" t="s">
        <v>112</v>
      </c>
      <c r="K176" s="124">
        <v>0</v>
      </c>
      <c r="L176" s="122" t="s">
        <v>209</v>
      </c>
      <c r="M176" s="122" t="s">
        <v>72</v>
      </c>
      <c r="N176" s="122" t="str">
        <f t="shared" si="5"/>
        <v>36.4X4-4H</v>
      </c>
    </row>
    <row r="177" spans="6:14" s="122" customFormat="1" x14ac:dyDescent="0.2">
      <c r="F177" s="122" t="s">
        <v>210</v>
      </c>
      <c r="G177" s="122" t="s">
        <v>211</v>
      </c>
      <c r="H177" s="122" t="s">
        <v>212</v>
      </c>
      <c r="I177" s="123">
        <v>836001</v>
      </c>
      <c r="J177" s="123" t="s">
        <v>70</v>
      </c>
      <c r="K177" s="124">
        <v>0</v>
      </c>
      <c r="L177" s="122" t="s">
        <v>213</v>
      </c>
      <c r="M177" s="122" t="s">
        <v>72</v>
      </c>
      <c r="N177" s="122" t="str">
        <f t="shared" si="5"/>
        <v>37.MONTACARGA-15H</v>
      </c>
    </row>
    <row r="178" spans="6:14" s="122" customFormat="1" x14ac:dyDescent="0.2">
      <c r="F178" s="122" t="s">
        <v>214</v>
      </c>
      <c r="G178" s="122" t="s">
        <v>215</v>
      </c>
      <c r="H178" s="122" t="s">
        <v>216</v>
      </c>
      <c r="I178" s="123">
        <v>144356</v>
      </c>
      <c r="J178" s="123" t="s">
        <v>217</v>
      </c>
      <c r="K178" s="124">
        <v>0</v>
      </c>
      <c r="L178" s="122" t="s">
        <v>218</v>
      </c>
      <c r="M178" s="122" t="s">
        <v>72</v>
      </c>
      <c r="N178" s="122" t="str">
        <f t="shared" si="5"/>
        <v>38.MONTACARGA-1H</v>
      </c>
    </row>
    <row r="179" spans="6:14" s="122" customFormat="1" x14ac:dyDescent="0.2">
      <c r="F179" s="122" t="s">
        <v>219</v>
      </c>
      <c r="G179" s="122" t="s">
        <v>220</v>
      </c>
      <c r="H179" s="122" t="s">
        <v>221</v>
      </c>
      <c r="I179" s="123">
        <v>828620</v>
      </c>
      <c r="J179" s="123" t="s">
        <v>70</v>
      </c>
      <c r="K179" s="124">
        <v>0</v>
      </c>
      <c r="L179" s="122" t="s">
        <v>222</v>
      </c>
      <c r="M179" s="122" t="s">
        <v>72</v>
      </c>
      <c r="N179" s="122" t="str">
        <f t="shared" si="5"/>
        <v>39.GRUA-15H-</v>
      </c>
    </row>
    <row r="180" spans="6:14" s="122" customFormat="1" x14ac:dyDescent="0.2">
      <c r="F180" s="122" t="s">
        <v>223</v>
      </c>
      <c r="G180" s="122" t="s">
        <v>224</v>
      </c>
      <c r="H180" s="122" t="s">
        <v>225</v>
      </c>
      <c r="I180" s="123">
        <v>148058</v>
      </c>
      <c r="J180" s="123" t="s">
        <v>217</v>
      </c>
      <c r="K180" s="124">
        <v>0</v>
      </c>
      <c r="L180" s="122" t="s">
        <v>226</v>
      </c>
      <c r="M180" s="122" t="s">
        <v>72</v>
      </c>
      <c r="N180" s="122" t="str">
        <f t="shared" si="5"/>
        <v>40.GRUA-1H</v>
      </c>
    </row>
    <row r="181" spans="6:14" s="122" customFormat="1" x14ac:dyDescent="0.2">
      <c r="F181" s="122" t="s">
        <v>227</v>
      </c>
      <c r="G181" s="122" t="s">
        <v>228</v>
      </c>
      <c r="H181" s="122" t="s">
        <v>36</v>
      </c>
      <c r="I181" s="123">
        <v>53577</v>
      </c>
      <c r="J181" s="123" t="s">
        <v>217</v>
      </c>
      <c r="K181" s="124">
        <v>0</v>
      </c>
      <c r="L181" s="122" t="s">
        <v>229</v>
      </c>
      <c r="M181" s="122" t="s">
        <v>72</v>
      </c>
      <c r="N181" s="122" t="str">
        <f t="shared" si="5"/>
        <v>41.OPERARIO-8-H</v>
      </c>
    </row>
    <row r="182" spans="6:14" s="122" customFormat="1" x14ac:dyDescent="0.2">
      <c r="F182" s="122" t="s">
        <v>230</v>
      </c>
      <c r="G182" s="122" t="s">
        <v>231</v>
      </c>
      <c r="H182" s="122" t="s">
        <v>232</v>
      </c>
      <c r="I182" s="123">
        <v>41562</v>
      </c>
      <c r="J182" s="123" t="s">
        <v>217</v>
      </c>
      <c r="K182" s="124">
        <v>0</v>
      </c>
      <c r="L182" s="122" t="s">
        <v>233</v>
      </c>
      <c r="M182" s="122" t="s">
        <v>72</v>
      </c>
      <c r="N182" s="122" t="str">
        <f t="shared" si="5"/>
        <v>42.OPERARIO-6-H</v>
      </c>
    </row>
    <row r="183" spans="6:14" s="122" customFormat="1" x14ac:dyDescent="0.2">
      <c r="F183" s="122" t="s">
        <v>234</v>
      </c>
      <c r="G183" s="122" t="s">
        <v>235</v>
      </c>
      <c r="H183" s="122" t="s">
        <v>236</v>
      </c>
      <c r="I183" s="123">
        <v>628232</v>
      </c>
      <c r="N183" s="122" t="str">
        <f t="shared" si="5"/>
        <v>43.BOGOTA-REGION-40m³-</v>
      </c>
    </row>
    <row r="184" spans="6:14" s="122" customFormat="1" x14ac:dyDescent="0.2">
      <c r="F184" s="122" t="s">
        <v>237</v>
      </c>
      <c r="G184" s="122" t="s">
        <v>238</v>
      </c>
      <c r="H184" s="122" t="s">
        <v>239</v>
      </c>
      <c r="I184" s="123">
        <v>562619</v>
      </c>
      <c r="N184" s="122" t="str">
        <f t="shared" si="5"/>
        <v>44.BOGOTA-REGION-25m³-</v>
      </c>
    </row>
    <row r="185" spans="6:14" s="122" customFormat="1" x14ac:dyDescent="0.2">
      <c r="F185" s="122" t="s">
        <v>240</v>
      </c>
      <c r="G185" s="122" t="s">
        <v>241</v>
      </c>
      <c r="H185" s="122" t="s">
        <v>242</v>
      </c>
      <c r="I185" s="123">
        <v>418264</v>
      </c>
      <c r="N185" s="122" t="str">
        <f t="shared" si="5"/>
        <v>45.BOGOTA-REGION-FURGON-</v>
      </c>
    </row>
    <row r="186" spans="6:14" s="122" customFormat="1" x14ac:dyDescent="0.2">
      <c r="F186" s="122" t="s">
        <v>243</v>
      </c>
      <c r="G186" s="122" t="s">
        <v>244</v>
      </c>
      <c r="H186" s="122" t="s">
        <v>245</v>
      </c>
      <c r="I186" s="123">
        <v>288714</v>
      </c>
      <c r="N186" s="122" t="str">
        <f t="shared" si="5"/>
        <v>46.BOGOTA-REGION-4X4</v>
      </c>
    </row>
    <row r="187" spans="6:14" x14ac:dyDescent="0.2">
      <c r="H187" s="122" t="s">
        <v>246</v>
      </c>
      <c r="I187" s="123">
        <f>41562*6</f>
        <v>249372</v>
      </c>
      <c r="J187" s="123" t="s">
        <v>217</v>
      </c>
      <c r="N187" s="3" t="str">
        <f t="shared" si="5"/>
        <v/>
      </c>
    </row>
    <row r="188" spans="6:14" x14ac:dyDescent="0.2">
      <c r="H188" s="122" t="s">
        <v>247</v>
      </c>
      <c r="I188" s="123">
        <f>41562*8</f>
        <v>332496</v>
      </c>
      <c r="J188" s="123" t="s">
        <v>217</v>
      </c>
    </row>
    <row r="189" spans="6:14" x14ac:dyDescent="0.2">
      <c r="H189" s="122" t="s">
        <v>248</v>
      </c>
      <c r="I189" s="123">
        <f>41562*8</f>
        <v>332496</v>
      </c>
      <c r="J189" s="123" t="s">
        <v>217</v>
      </c>
    </row>
    <row r="190" spans="6:14" x14ac:dyDescent="0.2">
      <c r="H190" s="122" t="s">
        <v>249</v>
      </c>
      <c r="I190" s="123">
        <f>53577*10</f>
        <v>535770</v>
      </c>
      <c r="J190" s="123" t="s">
        <v>217</v>
      </c>
    </row>
    <row r="191" spans="6:14" x14ac:dyDescent="0.2">
      <c r="H191" s="122" t="s">
        <v>250</v>
      </c>
      <c r="I191" s="123">
        <f>53577*8</f>
        <v>428616</v>
      </c>
      <c r="J191" s="123" t="s">
        <v>217</v>
      </c>
    </row>
    <row r="192" spans="6:14" x14ac:dyDescent="0.2">
      <c r="H192" s="122" t="s">
        <v>251</v>
      </c>
      <c r="I192" s="123">
        <f>53577*10</f>
        <v>535770</v>
      </c>
      <c r="J192" s="123" t="s">
        <v>217</v>
      </c>
    </row>
  </sheetData>
  <sheetProtection selectLockedCells="1" selectUnlockedCells="1"/>
  <mergeCells count="23">
    <mergeCell ref="A94:A96"/>
    <mergeCell ref="R13:Y13"/>
    <mergeCell ref="A74:AE80"/>
    <mergeCell ref="A83:A85"/>
    <mergeCell ref="A89:A91"/>
    <mergeCell ref="B89:B91"/>
    <mergeCell ref="A73:AE73"/>
    <mergeCell ref="A14:G14"/>
    <mergeCell ref="I16:P16"/>
    <mergeCell ref="R18:Y18"/>
    <mergeCell ref="A24:G24"/>
    <mergeCell ref="A25:G25"/>
    <mergeCell ref="A33:G33"/>
    <mergeCell ref="A42:G42"/>
    <mergeCell ref="A43:G43"/>
    <mergeCell ref="J47:P66"/>
    <mergeCell ref="R2:Y2"/>
    <mergeCell ref="AA2:AE2"/>
    <mergeCell ref="A53:G53"/>
    <mergeCell ref="K71:L71"/>
    <mergeCell ref="A1:G1"/>
    <mergeCell ref="A2:G2"/>
    <mergeCell ref="I2:P2"/>
  </mergeCells>
  <dataValidations count="4">
    <dataValidation type="list" allowBlank="1" showInputMessage="1" showErrorMessage="1" sqref="X20:X24 O4:O8 X4:X6 F55:F64 O18:O19 X15:X16 F16 F35:F39 F27:F30 F4:F11" xr:uid="{763B1DBE-2ABF-224B-9344-8A3F53711B79}">
      <formula1>$H$140:$H$192</formula1>
    </dataValidation>
    <dataValidation type="list" allowBlank="1" showInputMessage="1" showErrorMessage="1" sqref="F20:F22 F12:F13" xr:uid="{A773FB84-A7D2-7446-A946-E33140746D56}">
      <formula1>$H$141:$H$186</formula1>
    </dataValidation>
    <dataValidation type="list" allowBlank="1" showInputMessage="1" showErrorMessage="1" sqref="O9:O15 O20:O25 F47:F52 F17:F19 F31:F32 X7:X8 F65" xr:uid="{5F7B1364-945C-5041-880D-92C84F885811}">
      <formula1>$H$140:$H$186</formula1>
    </dataValidation>
    <dataValidation type="list" allowBlank="1" showInputMessage="1" showErrorMessage="1" sqref="F40" xr:uid="{8FFC55CC-50DC-984A-9503-CB82A8A3C036}">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D29DE-B039-974F-BF88-51699AA02C4E}">
  <sheetPr>
    <tabColor rgb="FFFF0000"/>
  </sheetPr>
  <dimension ref="A1:AE192"/>
  <sheetViews>
    <sheetView view="pageBreakPreview" topLeftCell="J42" zoomScaleNormal="59" zoomScaleSheetLayoutView="100" workbookViewId="0">
      <selection activeCell="A5" sqref="A5"/>
    </sheetView>
  </sheetViews>
  <sheetFormatPr baseColWidth="10" defaultColWidth="11.42578125" defaultRowHeight="12.75" x14ac:dyDescent="0.2"/>
  <cols>
    <col min="1" max="1" width="58.42578125" style="3" customWidth="1"/>
    <col min="2" max="2" width="27.42578125" style="3" customWidth="1"/>
    <col min="3" max="3" width="20.85546875" style="3" customWidth="1"/>
    <col min="4" max="5" width="44.4257812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51.85546875" style="3" customWidth="1"/>
    <col min="16" max="16" width="29.28515625" style="3" customWidth="1"/>
    <col min="17" max="17" width="23.85546875" style="3" customWidth="1"/>
    <col min="18" max="18" width="18.140625" style="3" customWidth="1"/>
    <col min="19" max="19" width="36.42578125" style="3" customWidth="1"/>
    <col min="20" max="20" width="20.28515625" style="3" customWidth="1"/>
    <col min="21" max="21" width="19" style="3" customWidth="1"/>
    <col min="22" max="23" width="25.42578125" style="3" customWidth="1"/>
    <col min="24" max="24" width="59.2851562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379" t="s">
        <v>0</v>
      </c>
      <c r="B1" s="379"/>
      <c r="C1" s="379"/>
      <c r="D1" s="379"/>
      <c r="E1" s="379"/>
      <c r="F1" s="379"/>
      <c r="G1" s="379"/>
      <c r="H1" s="2"/>
      <c r="I1" s="2"/>
      <c r="J1" s="2"/>
      <c r="K1" s="2"/>
      <c r="L1" s="2"/>
      <c r="M1" s="2"/>
      <c r="N1" s="2"/>
      <c r="O1" s="2"/>
      <c r="P1" s="2"/>
      <c r="Q1" s="2"/>
      <c r="R1" s="2"/>
      <c r="S1" s="2"/>
      <c r="T1" s="2"/>
      <c r="U1" s="2"/>
      <c r="V1" s="2"/>
      <c r="W1" s="2"/>
      <c r="X1" s="2"/>
      <c r="Y1" s="2"/>
    </row>
    <row r="2" spans="1:31" ht="15.75" x14ac:dyDescent="0.2">
      <c r="A2" s="379" t="s">
        <v>1</v>
      </c>
      <c r="B2" s="379"/>
      <c r="C2" s="379"/>
      <c r="D2" s="379"/>
      <c r="E2" s="379"/>
      <c r="F2" s="379"/>
      <c r="G2" s="379"/>
      <c r="H2" s="2"/>
      <c r="I2" s="355" t="s">
        <v>2</v>
      </c>
      <c r="J2" s="356"/>
      <c r="K2" s="356"/>
      <c r="L2" s="356"/>
      <c r="M2" s="356"/>
      <c r="N2" s="356"/>
      <c r="O2" s="356"/>
      <c r="P2" s="358"/>
      <c r="Q2" s="2"/>
      <c r="R2" s="355" t="s">
        <v>3</v>
      </c>
      <c r="S2" s="356"/>
      <c r="T2" s="356"/>
      <c r="U2" s="356"/>
      <c r="V2" s="356"/>
      <c r="W2" s="356"/>
      <c r="X2" s="356"/>
      <c r="Y2" s="358"/>
      <c r="AA2" s="375"/>
      <c r="AB2" s="375"/>
      <c r="AC2" s="375"/>
      <c r="AD2" s="375"/>
      <c r="AE2" s="375"/>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7" t="s">
        <v>11</v>
      </c>
      <c r="S3" s="7" t="s">
        <v>4</v>
      </c>
      <c r="T3" s="8" t="s">
        <v>5</v>
      </c>
      <c r="U3" s="8" t="s">
        <v>6</v>
      </c>
      <c r="V3" s="8" t="s">
        <v>7</v>
      </c>
      <c r="W3" s="8" t="s">
        <v>8</v>
      </c>
      <c r="X3" s="8" t="s">
        <v>9</v>
      </c>
      <c r="Y3" s="8" t="s">
        <v>10</v>
      </c>
      <c r="AA3" s="4"/>
      <c r="AB3" s="9"/>
      <c r="AC3" s="9"/>
      <c r="AD3" s="9"/>
      <c r="AE3" s="9"/>
    </row>
    <row r="4" spans="1:31" ht="15.75" x14ac:dyDescent="0.25">
      <c r="A4" s="10" t="s">
        <v>12</v>
      </c>
      <c r="B4" s="11" t="str">
        <f t="shared" ref="B4:B9" si="0">+IF(F4=0,0,MID(F4,LEN(F4)-3,1))</f>
        <v>4</v>
      </c>
      <c r="C4" s="12">
        <v>1</v>
      </c>
      <c r="D4" s="12" t="s">
        <v>13</v>
      </c>
      <c r="E4" s="13" t="str">
        <f t="shared" ref="E4:E11" si="1">+IF(F4=0,0,CONCATENATE(MID(F4,FIND("-",F4,1)+1,4),"ORAS"))</f>
        <v>15 HORAS</v>
      </c>
      <c r="F4" s="14" t="s">
        <v>14</v>
      </c>
      <c r="G4" s="308">
        <f>+IF(F4="","",VLOOKUP(F4,$H$140:$I$192,2,FALSE))</f>
        <v>582964</v>
      </c>
      <c r="H4" s="2"/>
      <c r="I4" s="15" t="s">
        <v>15</v>
      </c>
      <c r="J4" s="14" t="s">
        <v>16</v>
      </c>
      <c r="K4" s="16">
        <v>3</v>
      </c>
      <c r="L4" s="17">
        <v>1</v>
      </c>
      <c r="M4" s="18" t="s">
        <v>13</v>
      </c>
      <c r="N4" s="13" t="str">
        <f>+IF(O4=0,0,CONCATENATE(MID(O4,FIND("-",O4,1)+1,4),"ORAS"))</f>
        <v>15 HORAS</v>
      </c>
      <c r="O4" s="14" t="s">
        <v>17</v>
      </c>
      <c r="P4" s="308">
        <f>+IF(O4="","",VLOOKUP(O4,$H$140:$I$192,2,FALSE))</f>
        <v>443323</v>
      </c>
      <c r="Q4" s="2"/>
      <c r="R4" s="15" t="s">
        <v>15</v>
      </c>
      <c r="S4" s="20" t="s">
        <v>18</v>
      </c>
      <c r="T4" s="16" t="str">
        <f>+IF(X4=0,0,MID(X4,LEN(X4)-3,1))</f>
        <v>4</v>
      </c>
      <c r="U4" s="338">
        <v>1</v>
      </c>
      <c r="V4" s="22" t="s">
        <v>13</v>
      </c>
      <c r="W4" s="13" t="str">
        <f>+IF(X4=0,0,CONCATENATE(MID(X4,FIND("-",X4,1)+1,4),"ORAS"))</f>
        <v>15 HORAS</v>
      </c>
      <c r="X4" s="14" t="s">
        <v>19</v>
      </c>
      <c r="Y4" s="308">
        <f>+IF(X4="","",VLOOKUP(X4,$H$140:$I$192,2,FALSE))</f>
        <v>501739</v>
      </c>
      <c r="AA4" s="23"/>
      <c r="AB4" s="24"/>
      <c r="AC4" s="24"/>
      <c r="AD4" s="25"/>
      <c r="AE4" s="26"/>
    </row>
    <row r="5" spans="1:31" ht="15.75" x14ac:dyDescent="0.25">
      <c r="A5" s="14" t="s">
        <v>20</v>
      </c>
      <c r="B5" s="11" t="str">
        <f t="shared" si="0"/>
        <v>3</v>
      </c>
      <c r="C5" s="18">
        <v>1</v>
      </c>
      <c r="D5" s="18" t="s">
        <v>13</v>
      </c>
      <c r="E5" s="13" t="str">
        <f t="shared" si="1"/>
        <v>15 HORAS</v>
      </c>
      <c r="F5" s="14" t="s">
        <v>21</v>
      </c>
      <c r="G5" s="308">
        <f>+IF(F5="","",VLOOKUP(F5,$H$140:I$192,2,FALSE))</f>
        <v>514916</v>
      </c>
      <c r="H5" s="2"/>
      <c r="I5" s="15" t="s">
        <v>15</v>
      </c>
      <c r="J5" s="14" t="s">
        <v>22</v>
      </c>
      <c r="K5" s="16">
        <v>0</v>
      </c>
      <c r="L5" s="17">
        <v>1</v>
      </c>
      <c r="M5" s="18" t="s">
        <v>13</v>
      </c>
      <c r="N5" s="13" t="str">
        <f>+IF(O5=0,0,CONCATENATE(MID(O5,FIND("-",O5,1)+1,4),"ORAS"))</f>
        <v>15 HORAS</v>
      </c>
      <c r="O5" s="14" t="s">
        <v>23</v>
      </c>
      <c r="P5" s="308">
        <f>+IF(O5="","",VLOOKUP(O5,$H$140:$I$192,2,FALSE))</f>
        <v>239262</v>
      </c>
      <c r="Q5" s="2"/>
      <c r="R5" s="15" t="s">
        <v>15</v>
      </c>
      <c r="S5" s="20" t="s">
        <v>24</v>
      </c>
      <c r="T5" s="16" t="str">
        <f>+IF(X5=0,0,MID(X5,LEN(X5)-3,1))</f>
        <v>4</v>
      </c>
      <c r="U5" s="338">
        <v>1</v>
      </c>
      <c r="V5" s="22" t="s">
        <v>13</v>
      </c>
      <c r="W5" s="13" t="str">
        <f>+IF(X5=0,0,CONCATENATE(MID(X5,FIND("-",X5,1)+1,4),"ORAS"))</f>
        <v>15 HORAS</v>
      </c>
      <c r="X5" s="14" t="s">
        <v>19</v>
      </c>
      <c r="Y5" s="308">
        <f>+IF(X5="","",VLOOKUP(X5,$H$140:$I$192,2,FALSE))</f>
        <v>501739</v>
      </c>
      <c r="AA5" s="23"/>
      <c r="AB5" s="24"/>
      <c r="AC5" s="24"/>
      <c r="AD5" s="25"/>
      <c r="AE5" s="26"/>
    </row>
    <row r="6" spans="1:31" ht="15.75" x14ac:dyDescent="0.25">
      <c r="A6" s="14" t="s">
        <v>25</v>
      </c>
      <c r="B6" s="11" t="str">
        <f t="shared" si="0"/>
        <v>3</v>
      </c>
      <c r="C6" s="18">
        <v>1</v>
      </c>
      <c r="D6" s="18" t="s">
        <v>13</v>
      </c>
      <c r="E6" s="13" t="str">
        <f t="shared" si="1"/>
        <v>15 HORAS</v>
      </c>
      <c r="F6" s="14" t="s">
        <v>21</v>
      </c>
      <c r="G6" s="308">
        <f>+IF(F6="","",VLOOKUP(F6,$H$140:I$192,2,FALSE))</f>
        <v>514916</v>
      </c>
      <c r="H6" s="2"/>
      <c r="I6" s="15" t="s">
        <v>15</v>
      </c>
      <c r="J6" s="14" t="s">
        <v>252</v>
      </c>
      <c r="K6" s="16">
        <v>4</v>
      </c>
      <c r="L6" s="17">
        <v>1</v>
      </c>
      <c r="M6" s="18" t="s">
        <v>13</v>
      </c>
      <c r="N6" s="13" t="str">
        <f>+IF(O6=0,0,CONCATENATE(MID(O6,FIND("-",O6,1)+1,4),"ORAS"))</f>
        <v>15 HORAS</v>
      </c>
      <c r="O6" s="14" t="s">
        <v>19</v>
      </c>
      <c r="P6" s="308">
        <f>+IF(O6="","",VLOOKUP(O6,$H$140:$I$192,2,FALSE))</f>
        <v>501739</v>
      </c>
      <c r="Q6" s="2"/>
      <c r="R6" s="15" t="s">
        <v>15</v>
      </c>
      <c r="S6" s="20" t="s">
        <v>26</v>
      </c>
      <c r="T6" s="16" t="str">
        <f>+IF(X6=0,0,MID(X6,LEN(X6)-3,1))</f>
        <v>4</v>
      </c>
      <c r="U6" s="338">
        <v>1</v>
      </c>
      <c r="V6" s="22" t="s">
        <v>13</v>
      </c>
      <c r="W6" s="13" t="str">
        <f>+IF(X6=0,0,CONCATENATE(MID(X6,FIND("-",X6,1)+1,4),"ORAS"))</f>
        <v>15 HORAS</v>
      </c>
      <c r="X6" s="14" t="s">
        <v>19</v>
      </c>
      <c r="Y6" s="308">
        <f>+IF(X6="","",VLOOKUP(X6,$H$140:$I$192,2,FALSE))</f>
        <v>501739</v>
      </c>
      <c r="AA6" s="23"/>
      <c r="AB6" s="24"/>
      <c r="AC6" s="24"/>
      <c r="AD6" s="25"/>
      <c r="AE6" s="26"/>
    </row>
    <row r="7" spans="1:31" ht="15.75" x14ac:dyDescent="0.25">
      <c r="A7" s="14" t="s">
        <v>27</v>
      </c>
      <c r="B7" s="11" t="str">
        <f t="shared" si="0"/>
        <v>3</v>
      </c>
      <c r="C7" s="18">
        <v>1</v>
      </c>
      <c r="D7" s="18" t="s">
        <v>13</v>
      </c>
      <c r="E7" s="13" t="str">
        <f t="shared" si="1"/>
        <v>15 HORAS</v>
      </c>
      <c r="F7" s="14" t="s">
        <v>21</v>
      </c>
      <c r="G7" s="308">
        <f>+IF(F7="","",VLOOKUP(F7,$H$140:I$192,2,FALSE))</f>
        <v>514916</v>
      </c>
      <c r="H7" s="2"/>
      <c r="I7" s="15" t="s">
        <v>15</v>
      </c>
      <c r="J7" s="125" t="s">
        <v>352</v>
      </c>
      <c r="K7" s="16">
        <v>3</v>
      </c>
      <c r="L7" s="17">
        <v>1</v>
      </c>
      <c r="M7" s="18" t="s">
        <v>13</v>
      </c>
      <c r="N7" s="13">
        <f>+IF(O7=0,0,CONCATENATE(MID(O7,FIND("-",O7,1)+1,4),"ORAS"))</f>
        <v>0</v>
      </c>
      <c r="O7" s="14">
        <v>0</v>
      </c>
      <c r="P7" s="316">
        <f>+IF(O7="","",VLOOKUP(O7,$H$140:$I$192,2,FALSE))</f>
        <v>0</v>
      </c>
      <c r="Q7" s="2"/>
      <c r="R7" s="27"/>
      <c r="S7" s="339"/>
      <c r="T7" s="16"/>
      <c r="U7" s="340"/>
      <c r="V7" s="12"/>
      <c r="W7" s="13"/>
      <c r="X7" s="14">
        <v>0</v>
      </c>
      <c r="Y7" s="30">
        <f>+IF(X7="","",VLOOKUP(X7,$H$140:$I$186,2,FALSE))</f>
        <v>0</v>
      </c>
      <c r="AA7" s="23"/>
      <c r="AB7" s="23"/>
      <c r="AC7" s="23"/>
      <c r="AD7" s="23"/>
      <c r="AE7" s="23"/>
    </row>
    <row r="8" spans="1:31" ht="15.75" x14ac:dyDescent="0.25">
      <c r="A8" s="14" t="s">
        <v>28</v>
      </c>
      <c r="B8" s="11" t="str">
        <f t="shared" si="0"/>
        <v>3</v>
      </c>
      <c r="C8" s="18">
        <v>1</v>
      </c>
      <c r="D8" s="18" t="s">
        <v>13</v>
      </c>
      <c r="E8" s="13" t="str">
        <f t="shared" si="1"/>
        <v>15 HORAS</v>
      </c>
      <c r="F8" s="14" t="s">
        <v>21</v>
      </c>
      <c r="G8" s="308">
        <f>+IF(F8="","",VLOOKUP(F8,$H$140:I$192,2,FALSE))</f>
        <v>514916</v>
      </c>
      <c r="H8" s="2"/>
      <c r="I8" s="15" t="s">
        <v>15</v>
      </c>
      <c r="J8" s="125" t="s">
        <v>353</v>
      </c>
      <c r="K8" s="126">
        <v>3</v>
      </c>
      <c r="L8" s="127">
        <v>1</v>
      </c>
      <c r="M8" s="18" t="s">
        <v>13</v>
      </c>
      <c r="N8" s="13" t="str">
        <f>+IF(O8=0,0,CONCATENATE(MID(O8,FIND("-",O8,1)+1,4),"ORAS"))</f>
        <v>09 HORAS</v>
      </c>
      <c r="O8" s="14" t="s">
        <v>154</v>
      </c>
      <c r="P8" s="308">
        <f>+IF(O8="","",VLOOKUP(O8,$H$140:$I$192,2,FALSE))</f>
        <v>386383</v>
      </c>
      <c r="Q8" s="2"/>
      <c r="R8" s="15"/>
      <c r="S8" s="341"/>
      <c r="T8" s="338"/>
      <c r="U8" s="338">
        <f>+U4+U5+U6+U7</f>
        <v>3</v>
      </c>
      <c r="V8" s="18"/>
      <c r="W8" s="14"/>
      <c r="X8" s="14"/>
      <c r="Y8" s="32"/>
      <c r="AA8" s="23"/>
      <c r="AB8" s="23"/>
      <c r="AC8" s="23"/>
      <c r="AD8" s="23"/>
      <c r="AE8" s="23"/>
    </row>
    <row r="9" spans="1:31" ht="15.75" x14ac:dyDescent="0.25">
      <c r="A9" s="33" t="s">
        <v>29</v>
      </c>
      <c r="B9" s="11" t="str">
        <f t="shared" si="0"/>
        <v>2</v>
      </c>
      <c r="C9" s="18">
        <v>1</v>
      </c>
      <c r="D9" s="18" t="s">
        <v>13</v>
      </c>
      <c r="E9" s="13" t="str">
        <f t="shared" si="1"/>
        <v>15 HORAS</v>
      </c>
      <c r="F9" s="14" t="s">
        <v>78</v>
      </c>
      <c r="G9" s="316">
        <f>+IF(F9="","",VLOOKUP(F9,$H$140:I$192,2,FALSE))</f>
        <v>448638</v>
      </c>
      <c r="H9" s="2"/>
      <c r="I9" s="34"/>
      <c r="J9" s="14"/>
      <c r="K9" s="16"/>
      <c r="L9" s="35"/>
      <c r="M9" s="35"/>
      <c r="N9" s="14"/>
      <c r="O9" s="14"/>
      <c r="P9" s="36"/>
      <c r="Q9" s="2"/>
      <c r="R9" s="37"/>
      <c r="S9" s="342"/>
      <c r="T9" s="342"/>
      <c r="U9" s="342"/>
      <c r="V9" s="39"/>
      <c r="W9" s="39"/>
      <c r="X9" s="39"/>
      <c r="Y9" s="2"/>
      <c r="AA9" s="23"/>
      <c r="AB9" s="23"/>
      <c r="AC9" s="23"/>
      <c r="AD9" s="23"/>
      <c r="AE9" s="23"/>
    </row>
    <row r="10" spans="1:31" ht="15.75" x14ac:dyDescent="0.25">
      <c r="A10" s="33"/>
      <c r="B10" s="11"/>
      <c r="C10" s="18"/>
      <c r="D10" s="18"/>
      <c r="E10" s="13">
        <f t="shared" si="1"/>
        <v>0</v>
      </c>
      <c r="F10" s="14">
        <v>0</v>
      </c>
      <c r="G10" s="19">
        <f>+IF(F10="","",VLOOKUP(F10,$H$140:I$192,2,FALSE))</f>
        <v>0</v>
      </c>
      <c r="H10" s="2"/>
      <c r="I10" s="34"/>
      <c r="J10" s="14"/>
      <c r="K10" s="16"/>
      <c r="L10" s="35"/>
      <c r="M10" s="35"/>
      <c r="N10" s="14"/>
      <c r="O10" s="14"/>
      <c r="P10" s="36"/>
      <c r="Q10" s="2"/>
      <c r="R10" s="37"/>
      <c r="S10" s="342"/>
      <c r="T10" s="342"/>
      <c r="U10" s="342"/>
      <c r="V10" s="39"/>
      <c r="W10" s="39"/>
      <c r="X10" s="39"/>
      <c r="Y10" s="2"/>
      <c r="AA10" s="23"/>
      <c r="AB10" s="23"/>
      <c r="AC10" s="23"/>
      <c r="AD10" s="23"/>
      <c r="AE10" s="23"/>
    </row>
    <row r="11" spans="1:31" ht="15.75" x14ac:dyDescent="0.25">
      <c r="A11" s="33"/>
      <c r="B11" s="11"/>
      <c r="C11" s="12"/>
      <c r="D11" s="12"/>
      <c r="E11" s="13">
        <f t="shared" si="1"/>
        <v>0</v>
      </c>
      <c r="F11" s="14">
        <v>0</v>
      </c>
      <c r="G11" s="19">
        <f>+IF(F11="","",VLOOKUP(F11,$H$140:$I$192,2,FALSE))</f>
        <v>0</v>
      </c>
      <c r="H11" s="2"/>
      <c r="I11" s="34"/>
      <c r="J11" s="14"/>
      <c r="K11" s="16"/>
      <c r="L11" s="35"/>
      <c r="M11" s="35"/>
      <c r="N11" s="14"/>
      <c r="O11" s="14"/>
      <c r="P11" s="40"/>
      <c r="Q11" s="2"/>
      <c r="R11" s="37"/>
      <c r="S11" s="342"/>
      <c r="T11" s="342"/>
      <c r="U11" s="342"/>
      <c r="V11" s="39"/>
      <c r="W11" s="39"/>
      <c r="X11" s="39"/>
      <c r="Y11" s="2"/>
      <c r="AA11" s="23"/>
      <c r="AB11" s="23"/>
      <c r="AC11" s="23"/>
      <c r="AD11" s="23"/>
      <c r="AE11" s="23"/>
    </row>
    <row r="12" spans="1:31" ht="15.75" x14ac:dyDescent="0.25">
      <c r="A12" s="41"/>
      <c r="B12" s="11"/>
      <c r="C12" s="18"/>
      <c r="D12" s="18"/>
      <c r="E12" s="13"/>
      <c r="F12" s="14"/>
      <c r="G12" s="30"/>
      <c r="H12" s="2"/>
      <c r="I12" s="34"/>
      <c r="J12" s="14"/>
      <c r="K12" s="16"/>
      <c r="L12" s="35"/>
      <c r="M12" s="35"/>
      <c r="N12" s="14"/>
      <c r="O12" s="14"/>
      <c r="P12" s="40"/>
      <c r="Q12" s="2"/>
      <c r="R12" s="37"/>
      <c r="S12" s="342"/>
      <c r="T12" s="342"/>
      <c r="U12" s="342"/>
      <c r="V12" s="39"/>
      <c r="W12" s="39"/>
      <c r="X12" s="39"/>
      <c r="Y12" s="2"/>
      <c r="AA12" s="23"/>
      <c r="AB12" s="23"/>
      <c r="AC12" s="23"/>
      <c r="AD12" s="23"/>
      <c r="AE12" s="23"/>
    </row>
    <row r="13" spans="1:31" ht="15.75" x14ac:dyDescent="0.25">
      <c r="A13" s="42"/>
      <c r="B13" s="11">
        <f>+B10+B9+B8+B7+B6+B5+B4+B11</f>
        <v>18</v>
      </c>
      <c r="C13" s="11">
        <f>+C10+C9+C8+C7+C6+C5+C4</f>
        <v>6</v>
      </c>
      <c r="D13" s="43"/>
      <c r="E13" s="43"/>
      <c r="F13" s="14"/>
      <c r="G13" s="44">
        <f>SUM(G4:G12)</f>
        <v>3091266</v>
      </c>
      <c r="H13" s="2"/>
      <c r="I13" s="34"/>
      <c r="J13" s="14"/>
      <c r="K13" s="16"/>
      <c r="L13" s="17"/>
      <c r="M13" s="35"/>
      <c r="N13" s="14"/>
      <c r="O13" s="14"/>
      <c r="P13" s="45"/>
      <c r="Q13" s="2"/>
      <c r="R13" s="380" t="s">
        <v>32</v>
      </c>
      <c r="S13" s="380"/>
      <c r="T13" s="380"/>
      <c r="U13" s="380"/>
      <c r="V13" s="380"/>
      <c r="W13" s="380"/>
      <c r="X13" s="380"/>
      <c r="Y13" s="380"/>
      <c r="AA13" s="23"/>
      <c r="AB13" s="23"/>
      <c r="AC13" s="23"/>
      <c r="AD13" s="23"/>
      <c r="AE13" s="23"/>
    </row>
    <row r="14" spans="1:31" ht="16.5" customHeight="1" x14ac:dyDescent="0.25">
      <c r="A14" s="368" t="s">
        <v>33</v>
      </c>
      <c r="B14" s="368"/>
      <c r="C14" s="368"/>
      <c r="D14" s="368"/>
      <c r="E14" s="368"/>
      <c r="F14" s="368"/>
      <c r="G14" s="368"/>
      <c r="H14" s="2"/>
      <c r="I14" s="34"/>
      <c r="J14" s="14"/>
      <c r="K14" s="16"/>
      <c r="L14" s="17"/>
      <c r="M14" s="35"/>
      <c r="N14" s="14"/>
      <c r="O14" s="14"/>
      <c r="P14" s="46"/>
      <c r="Q14" s="2"/>
      <c r="R14" s="327" t="s">
        <v>11</v>
      </c>
      <c r="S14" s="327" t="s">
        <v>4</v>
      </c>
      <c r="T14" s="328" t="s">
        <v>5</v>
      </c>
      <c r="U14" s="328" t="s">
        <v>6</v>
      </c>
      <c r="V14" s="328" t="s">
        <v>7</v>
      </c>
      <c r="W14" s="328" t="s">
        <v>8</v>
      </c>
      <c r="X14" s="328" t="s">
        <v>9</v>
      </c>
      <c r="Y14" s="328" t="s">
        <v>10</v>
      </c>
      <c r="Z14" s="47"/>
    </row>
    <row r="15" spans="1:31" ht="15.75" x14ac:dyDescent="0.2">
      <c r="A15" s="1" t="s">
        <v>4</v>
      </c>
      <c r="B15" s="5" t="s">
        <v>5</v>
      </c>
      <c r="C15" s="5" t="s">
        <v>6</v>
      </c>
      <c r="D15" s="5" t="s">
        <v>7</v>
      </c>
      <c r="E15" s="5" t="s">
        <v>8</v>
      </c>
      <c r="F15" s="48" t="s">
        <v>9</v>
      </c>
      <c r="G15" s="5" t="s">
        <v>10</v>
      </c>
      <c r="H15" s="2"/>
      <c r="I15" s="42"/>
      <c r="J15" s="42"/>
      <c r="K15" s="42"/>
      <c r="L15" s="42"/>
      <c r="M15" s="42"/>
      <c r="N15" s="14"/>
      <c r="O15" s="14"/>
      <c r="P15" s="49"/>
      <c r="Q15" s="2"/>
      <c r="R15" s="50" t="s">
        <v>15</v>
      </c>
      <c r="S15" s="20" t="s">
        <v>34</v>
      </c>
      <c r="T15" s="16">
        <v>3</v>
      </c>
      <c r="U15" s="20">
        <v>0</v>
      </c>
      <c r="V15" s="20" t="s">
        <v>35</v>
      </c>
      <c r="W15" s="13" t="str">
        <f>+IF(X15=0,0,CONCATENATE(MID(X15,FIND("-",X15,1)+1,4),"ORAS"))</f>
        <v>08 HORAS</v>
      </c>
      <c r="X15" s="14" t="s">
        <v>36</v>
      </c>
      <c r="Y15" s="308">
        <f>+(IF(X15="","",VLOOKUP(X15,$H$140:$I$192,2,FALSE)))*T15</f>
        <v>160731</v>
      </c>
    </row>
    <row r="16" spans="1:31" ht="18.75" customHeight="1" x14ac:dyDescent="0.2">
      <c r="A16" s="33" t="s">
        <v>30</v>
      </c>
      <c r="B16" s="11" t="str">
        <f t="shared" ref="B16:B17" si="2">+IF(F16=0,0,MID(F16,LEN(F16)-3,1))</f>
        <v>3</v>
      </c>
      <c r="C16" s="18">
        <v>1</v>
      </c>
      <c r="D16" s="18" t="s">
        <v>13</v>
      </c>
      <c r="E16" s="13" t="str">
        <f>+IF(F16=0,0,CONCATENATE(MID(F16,FIND("-",F16,1)+1,4),"ORAS"))</f>
        <v>15 HORAS</v>
      </c>
      <c r="F16" s="14" t="s">
        <v>21</v>
      </c>
      <c r="G16" s="316">
        <f>+IF(F16="","",VLOOKUP(F16,$H$140:$I$192,2,FALSE))</f>
        <v>514916</v>
      </c>
      <c r="H16" s="2"/>
      <c r="I16" s="369" t="s">
        <v>37</v>
      </c>
      <c r="J16" s="357"/>
      <c r="K16" s="357"/>
      <c r="L16" s="357"/>
      <c r="M16" s="357"/>
      <c r="N16" s="357"/>
      <c r="O16" s="357"/>
      <c r="P16" s="370"/>
      <c r="Q16" s="2"/>
      <c r="R16" s="50" t="s">
        <v>15</v>
      </c>
      <c r="S16" s="20" t="s">
        <v>38</v>
      </c>
      <c r="T16" s="16">
        <v>2</v>
      </c>
      <c r="U16" s="20">
        <v>0</v>
      </c>
      <c r="V16" s="20" t="s">
        <v>35</v>
      </c>
      <c r="W16" s="14" t="str">
        <f>+IF(X16=0,0,CONCATENATE(MID(X16,FIND("-",X16,1)+1,4),"ORAS"))</f>
        <v>08 HORAS</v>
      </c>
      <c r="X16" s="14" t="s">
        <v>36</v>
      </c>
      <c r="Y16" s="317">
        <f>+(IF(X16="","",VLOOKUP(X16,$H$140:$I$192,2,FALSE)))*T16</f>
        <v>107154</v>
      </c>
    </row>
    <row r="17" spans="1:31" ht="23.25" customHeight="1" x14ac:dyDescent="0.2">
      <c r="A17" s="33" t="s">
        <v>31</v>
      </c>
      <c r="B17" s="11" t="str">
        <f t="shared" si="2"/>
        <v>3</v>
      </c>
      <c r="C17" s="12">
        <v>1</v>
      </c>
      <c r="D17" s="12" t="s">
        <v>13</v>
      </c>
      <c r="E17" s="13" t="str">
        <f t="shared" ref="E17" si="3">+IF(F17=0,0,CONCATENATE(MID(F17,FIND("-",F17,1)+1,4),"ORAS"))</f>
        <v>15 HORAS</v>
      </c>
      <c r="F17" s="14" t="s">
        <v>21</v>
      </c>
      <c r="G17" s="316">
        <f>+IF(F17="","",VLOOKUP(F17,$H$140:$I$192,2,FALSE))</f>
        <v>514916</v>
      </c>
      <c r="H17" s="2"/>
      <c r="I17" s="7" t="s">
        <v>11</v>
      </c>
      <c r="J17" s="7" t="s">
        <v>4</v>
      </c>
      <c r="K17" s="8" t="s">
        <v>5</v>
      </c>
      <c r="L17" s="8" t="s">
        <v>6</v>
      </c>
      <c r="M17" s="8" t="s">
        <v>7</v>
      </c>
      <c r="N17" s="8" t="s">
        <v>8</v>
      </c>
      <c r="O17" s="8" t="s">
        <v>9</v>
      </c>
      <c r="P17" s="8" t="s">
        <v>10</v>
      </c>
      <c r="Q17" s="2"/>
      <c r="R17" s="2"/>
      <c r="S17" s="2"/>
      <c r="T17" s="2"/>
      <c r="U17" s="2"/>
      <c r="V17" s="2"/>
      <c r="W17" s="2"/>
      <c r="X17" s="2"/>
      <c r="Y17" s="2"/>
    </row>
    <row r="18" spans="1:31" ht="15.75" x14ac:dyDescent="0.25">
      <c r="A18" s="52"/>
      <c r="B18" s="16"/>
      <c r="C18" s="338"/>
      <c r="D18" s="18"/>
      <c r="E18" s="14"/>
      <c r="F18" s="14"/>
      <c r="G18" s="30"/>
      <c r="H18" s="2"/>
      <c r="I18" s="15"/>
      <c r="J18" s="14"/>
      <c r="K18" s="16"/>
      <c r="L18" s="17"/>
      <c r="M18" s="18"/>
      <c r="N18" s="13">
        <f>+IF(O18=0,0,CONCATENATE(MID(O18,FIND("-",O18,1)+1,4),"ORAS"))</f>
        <v>0</v>
      </c>
      <c r="O18" s="14">
        <v>0</v>
      </c>
      <c r="P18" s="19">
        <f>+IF(O18="","",VLOOKUP(O18,$H$140:$I$192,2,FALSE))</f>
        <v>0</v>
      </c>
      <c r="Q18" s="2"/>
      <c r="R18" s="355" t="s">
        <v>39</v>
      </c>
      <c r="S18" s="356"/>
      <c r="T18" s="356"/>
      <c r="U18" s="356"/>
      <c r="V18" s="356"/>
      <c r="W18" s="356"/>
      <c r="X18" s="356"/>
      <c r="Y18" s="358"/>
    </row>
    <row r="19" spans="1:31" ht="15.75" x14ac:dyDescent="0.25">
      <c r="A19" s="53"/>
      <c r="B19" s="16"/>
      <c r="C19" s="18"/>
      <c r="D19" s="18"/>
      <c r="E19" s="14"/>
      <c r="F19" s="14"/>
      <c r="G19" s="30"/>
      <c r="H19" s="2"/>
      <c r="I19" s="15"/>
      <c r="J19" s="14"/>
      <c r="K19" s="16"/>
      <c r="L19" s="54"/>
      <c r="M19" s="55"/>
      <c r="N19" s="13"/>
      <c r="O19" s="14">
        <v>0</v>
      </c>
      <c r="P19" s="19">
        <f>+IF(O19="","",VLOOKUP(O19,$H$140:$I$192,2,FALSE))</f>
        <v>0</v>
      </c>
      <c r="Q19" s="2"/>
      <c r="R19" s="7" t="s">
        <v>11</v>
      </c>
      <c r="S19" s="7" t="s">
        <v>4</v>
      </c>
      <c r="T19" s="8" t="s">
        <v>5</v>
      </c>
      <c r="U19" s="8" t="s">
        <v>6</v>
      </c>
      <c r="V19" s="8" t="s">
        <v>7</v>
      </c>
      <c r="W19" s="8" t="s">
        <v>8</v>
      </c>
      <c r="X19" s="8" t="s">
        <v>9</v>
      </c>
      <c r="Y19" s="8" t="s">
        <v>10</v>
      </c>
      <c r="AA19" s="23"/>
      <c r="AB19" s="23"/>
      <c r="AC19" s="23"/>
      <c r="AD19" s="23"/>
      <c r="AE19" s="23"/>
    </row>
    <row r="20" spans="1:31" ht="15.75" x14ac:dyDescent="0.25">
      <c r="A20" s="56"/>
      <c r="B20" s="16"/>
      <c r="C20" s="57"/>
      <c r="D20" s="57"/>
      <c r="E20" s="14"/>
      <c r="F20" s="14"/>
      <c r="G20" s="30"/>
      <c r="H20" s="2"/>
      <c r="I20" s="34"/>
      <c r="J20" s="13"/>
      <c r="K20" s="16"/>
      <c r="L20" s="58"/>
      <c r="M20" s="22"/>
      <c r="N20" s="13"/>
      <c r="O20" s="14"/>
      <c r="P20" s="59"/>
      <c r="Q20" s="2"/>
      <c r="R20" s="5" t="s">
        <v>40</v>
      </c>
      <c r="S20" s="20" t="s">
        <v>34</v>
      </c>
      <c r="T20" s="16" t="s">
        <v>35</v>
      </c>
      <c r="U20" s="20" t="s">
        <v>35</v>
      </c>
      <c r="V20" s="12" t="s">
        <v>13</v>
      </c>
      <c r="W20" s="13" t="str">
        <f t="shared" ref="W20:W26" si="4">+IF(X20=0,0,CONCATENATE(MID(X20,FIND("-",X20,1)+1,4),"ORAS"))</f>
        <v>15 HORAS</v>
      </c>
      <c r="X20" s="14" t="s">
        <v>41</v>
      </c>
      <c r="Y20" s="308">
        <f t="shared" ref="Y20:Y26" si="5">+IF(X20="","",VLOOKUP(X20,$H$140:$I$192,2,FALSE))</f>
        <v>373234</v>
      </c>
      <c r="AA20" s="23"/>
      <c r="AB20" s="23"/>
      <c r="AC20" s="23"/>
      <c r="AD20" s="23"/>
      <c r="AE20" s="23"/>
    </row>
    <row r="21" spans="1:31" ht="15.75" x14ac:dyDescent="0.25">
      <c r="A21" s="56"/>
      <c r="B21" s="16"/>
      <c r="C21" s="57"/>
      <c r="D21" s="57"/>
      <c r="E21" s="14"/>
      <c r="F21" s="14"/>
      <c r="G21" s="30"/>
      <c r="H21" s="2"/>
      <c r="I21" s="34"/>
      <c r="J21" s="13"/>
      <c r="K21" s="16"/>
      <c r="L21" s="58"/>
      <c r="M21" s="22"/>
      <c r="N21" s="13"/>
      <c r="O21" s="14"/>
      <c r="P21" s="59"/>
      <c r="Q21" s="2"/>
      <c r="R21" s="324" t="s">
        <v>40</v>
      </c>
      <c r="S21" s="20" t="s">
        <v>34</v>
      </c>
      <c r="T21" s="16" t="s">
        <v>35</v>
      </c>
      <c r="U21" s="20" t="s">
        <v>35</v>
      </c>
      <c r="V21" s="12" t="s">
        <v>13</v>
      </c>
      <c r="W21" s="13" t="str">
        <f t="shared" si="4"/>
        <v>15 HORAS</v>
      </c>
      <c r="X21" s="14" t="s">
        <v>41</v>
      </c>
      <c r="Y21" s="308">
        <f t="shared" si="5"/>
        <v>373234</v>
      </c>
      <c r="AA21" s="23"/>
      <c r="AB21" s="23"/>
      <c r="AC21" s="23"/>
      <c r="AD21" s="23"/>
      <c r="AE21" s="23"/>
    </row>
    <row r="22" spans="1:31" ht="15.75" x14ac:dyDescent="0.25">
      <c r="A22" s="56"/>
      <c r="B22" s="16"/>
      <c r="C22" s="57"/>
      <c r="D22" s="57"/>
      <c r="E22" s="14"/>
      <c r="F22" s="57"/>
      <c r="G22" s="30"/>
      <c r="H22" s="2"/>
      <c r="I22" s="34"/>
      <c r="J22" s="13"/>
      <c r="K22" s="16"/>
      <c r="L22" s="58"/>
      <c r="M22" s="22"/>
      <c r="N22" s="13"/>
      <c r="O22" s="14"/>
      <c r="P22" s="59"/>
      <c r="Q22" s="2"/>
      <c r="R22" s="50" t="s">
        <v>15</v>
      </c>
      <c r="S22" s="20" t="s">
        <v>34</v>
      </c>
      <c r="T22" s="16" t="s">
        <v>35</v>
      </c>
      <c r="U22" s="20">
        <v>1</v>
      </c>
      <c r="V22" s="12" t="s">
        <v>13</v>
      </c>
      <c r="W22" s="13" t="str">
        <f t="shared" si="4"/>
        <v>15 HORAS</v>
      </c>
      <c r="X22" s="14" t="s">
        <v>23</v>
      </c>
      <c r="Y22" s="308">
        <f t="shared" si="5"/>
        <v>239262</v>
      </c>
      <c r="AA22" s="23"/>
      <c r="AB22" s="23"/>
      <c r="AC22" s="23"/>
      <c r="AD22" s="23"/>
      <c r="AE22" s="23"/>
    </row>
    <row r="23" spans="1:31" ht="15.75" x14ac:dyDescent="0.25">
      <c r="A23" s="60" t="s">
        <v>42</v>
      </c>
      <c r="B23" s="61">
        <f>SUM(B4:B13)+B16+B17+B18+B19+B20+B22</f>
        <v>24</v>
      </c>
      <c r="C23" s="61">
        <f>+C4+C5+C6+C7+C8+C9+C10+C16</f>
        <v>7</v>
      </c>
      <c r="D23" s="62"/>
      <c r="E23" s="63"/>
      <c r="F23" s="62"/>
      <c r="G23" s="44">
        <f>SUM(G13,G16:G22)</f>
        <v>4121098</v>
      </c>
      <c r="H23" s="2"/>
      <c r="I23" s="34"/>
      <c r="J23" s="14"/>
      <c r="K23" s="16"/>
      <c r="L23" s="54"/>
      <c r="M23" s="54"/>
      <c r="N23" s="13"/>
      <c r="O23" s="14"/>
      <c r="P23" s="59"/>
      <c r="Q23" s="2"/>
      <c r="R23" s="50" t="s">
        <v>15</v>
      </c>
      <c r="S23" s="20" t="s">
        <v>34</v>
      </c>
      <c r="T23" s="16" t="s">
        <v>35</v>
      </c>
      <c r="U23" s="20" t="s">
        <v>35</v>
      </c>
      <c r="V23" s="18" t="s">
        <v>13</v>
      </c>
      <c r="W23" s="14" t="str">
        <f t="shared" si="4"/>
        <v>15 HORAS</v>
      </c>
      <c r="X23" s="14" t="s">
        <v>41</v>
      </c>
      <c r="Y23" s="308">
        <f t="shared" si="5"/>
        <v>373234</v>
      </c>
      <c r="AA23" s="23"/>
      <c r="AB23" s="23"/>
      <c r="AC23" s="23"/>
      <c r="AD23" s="23"/>
      <c r="AE23" s="23"/>
    </row>
    <row r="24" spans="1:31" ht="15.75" x14ac:dyDescent="0.25">
      <c r="A24" s="371" t="s">
        <v>43</v>
      </c>
      <c r="B24" s="371"/>
      <c r="C24" s="371"/>
      <c r="D24" s="371"/>
      <c r="E24" s="371"/>
      <c r="F24" s="371"/>
      <c r="G24" s="371"/>
      <c r="H24" s="2"/>
      <c r="I24" s="65"/>
      <c r="J24" s="14"/>
      <c r="K24" s="16"/>
      <c r="L24" s="54"/>
      <c r="M24" s="22"/>
      <c r="N24" s="13"/>
      <c r="O24" s="14"/>
      <c r="P24" s="66"/>
      <c r="Q24" s="2"/>
      <c r="R24" s="67" t="s">
        <v>44</v>
      </c>
      <c r="S24" s="20" t="s">
        <v>34</v>
      </c>
      <c r="T24" s="16" t="s">
        <v>35</v>
      </c>
      <c r="U24" s="20" t="s">
        <v>35</v>
      </c>
      <c r="V24" s="18" t="s">
        <v>13</v>
      </c>
      <c r="W24" s="14" t="str">
        <f t="shared" si="4"/>
        <v>15 HORAS</v>
      </c>
      <c r="X24" s="14" t="s">
        <v>41</v>
      </c>
      <c r="Y24" s="308">
        <f t="shared" si="5"/>
        <v>373234</v>
      </c>
      <c r="AA24" s="23"/>
      <c r="AB24" s="23"/>
      <c r="AC24" s="23"/>
      <c r="AD24" s="23"/>
      <c r="AE24" s="23"/>
    </row>
    <row r="25" spans="1:31" ht="15.75" x14ac:dyDescent="0.25">
      <c r="A25" s="371" t="s">
        <v>1</v>
      </c>
      <c r="B25" s="371"/>
      <c r="C25" s="371"/>
      <c r="D25" s="371"/>
      <c r="E25" s="371"/>
      <c r="F25" s="371"/>
      <c r="G25" s="371"/>
      <c r="H25" s="2"/>
      <c r="I25" s="34"/>
      <c r="J25" s="68"/>
      <c r="K25" s="16"/>
      <c r="L25" s="35"/>
      <c r="M25" s="35"/>
      <c r="N25" s="14"/>
      <c r="O25" s="14"/>
      <c r="P25" s="69"/>
      <c r="Q25" s="2"/>
      <c r="R25" s="67" t="s">
        <v>355</v>
      </c>
      <c r="S25" s="20" t="s">
        <v>34</v>
      </c>
      <c r="T25" s="16" t="s">
        <v>35</v>
      </c>
      <c r="U25" s="20" t="s">
        <v>35</v>
      </c>
      <c r="V25" s="18" t="s">
        <v>356</v>
      </c>
      <c r="W25" s="14" t="str">
        <f t="shared" si="4"/>
        <v>15 HORAS</v>
      </c>
      <c r="X25" s="14" t="s">
        <v>41</v>
      </c>
      <c r="Y25" s="308">
        <f t="shared" si="5"/>
        <v>373234</v>
      </c>
      <c r="AA25" s="23"/>
      <c r="AB25" s="23"/>
      <c r="AC25" s="23"/>
      <c r="AD25" s="23"/>
      <c r="AE25" s="23"/>
    </row>
    <row r="26" spans="1:31" ht="15.75" x14ac:dyDescent="0.2">
      <c r="A26" s="64" t="s">
        <v>4</v>
      </c>
      <c r="B26" s="70" t="s">
        <v>5</v>
      </c>
      <c r="C26" s="70" t="s">
        <v>6</v>
      </c>
      <c r="D26" s="70" t="s">
        <v>7</v>
      </c>
      <c r="E26" s="70" t="s">
        <v>8</v>
      </c>
      <c r="F26" s="70" t="s">
        <v>9</v>
      </c>
      <c r="G26" s="70" t="s">
        <v>10</v>
      </c>
      <c r="H26" s="2"/>
      <c r="I26" s="2"/>
      <c r="J26" s="71" t="s">
        <v>45</v>
      </c>
      <c r="K26" s="72">
        <f>SUM(K4:K15,K18:K25)</f>
        <v>13</v>
      </c>
      <c r="L26" s="72">
        <f>SUM(L4:L25)</f>
        <v>5</v>
      </c>
      <c r="M26" s="71"/>
      <c r="N26" s="71"/>
      <c r="O26" s="71"/>
      <c r="P26" s="73">
        <f>SUM(P4:P25)</f>
        <v>1570707</v>
      </c>
      <c r="Q26" s="2"/>
      <c r="R26" s="67" t="s">
        <v>355</v>
      </c>
      <c r="S26" s="20" t="s">
        <v>34</v>
      </c>
      <c r="T26" s="16" t="s">
        <v>35</v>
      </c>
      <c r="U26" s="20" t="s">
        <v>35</v>
      </c>
      <c r="V26" s="18" t="s">
        <v>357</v>
      </c>
      <c r="W26" s="14" t="str">
        <f t="shared" si="4"/>
        <v>04 HORAS</v>
      </c>
      <c r="X26" s="14" t="s">
        <v>208</v>
      </c>
      <c r="Y26" s="317">
        <f t="shared" si="5"/>
        <v>195220</v>
      </c>
      <c r="AA26" s="77"/>
      <c r="AB26" s="77"/>
      <c r="AC26" s="77"/>
      <c r="AD26" s="77"/>
      <c r="AE26" s="78"/>
    </row>
    <row r="27" spans="1:31" ht="15.75" x14ac:dyDescent="0.2">
      <c r="A27" s="79" t="s">
        <v>46</v>
      </c>
      <c r="B27" s="11" t="str">
        <f>+IF(F27=0,0,MID(F27,LEN(F27)-3,1))</f>
        <v>3</v>
      </c>
      <c r="C27" s="12">
        <v>1</v>
      </c>
      <c r="D27" s="12" t="s">
        <v>13</v>
      </c>
      <c r="E27" s="13" t="str">
        <f>+IF(F27=0,0,CONCATENATE(MID(F27,FIND("-",F27,1)+1,4),"ORAS"))</f>
        <v>15 HORAS</v>
      </c>
      <c r="F27" s="14" t="s">
        <v>21</v>
      </c>
      <c r="G27" s="308">
        <f>+IF(F27="","",VLOOKUP(F27,$H$140:I$192,2,FALSE))</f>
        <v>514916</v>
      </c>
      <c r="H27" s="2"/>
      <c r="I27" s="2"/>
      <c r="J27" s="2"/>
      <c r="K27" s="2"/>
      <c r="L27" s="2"/>
      <c r="M27" s="2"/>
      <c r="N27" s="2"/>
      <c r="O27" s="2"/>
      <c r="P27" s="2"/>
      <c r="Q27" s="2"/>
      <c r="R27" s="2"/>
      <c r="S27" s="2"/>
      <c r="T27" s="2"/>
      <c r="U27" s="2"/>
      <c r="V27" s="2"/>
      <c r="W27" s="2"/>
      <c r="X27" s="2"/>
      <c r="Y27" s="2"/>
      <c r="AA27" s="23"/>
      <c r="AB27" s="23"/>
      <c r="AC27" s="23"/>
      <c r="AD27" s="23"/>
      <c r="AE27" s="23"/>
    </row>
    <row r="28" spans="1:31" ht="20.100000000000001" customHeight="1" x14ac:dyDescent="0.2">
      <c r="A28" s="79" t="s">
        <v>47</v>
      </c>
      <c r="B28" s="51" t="str">
        <f>+IF(F28=0,0,MID(F28,LEN(F28)-3,1))</f>
        <v>3</v>
      </c>
      <c r="C28" s="80">
        <v>1</v>
      </c>
      <c r="D28" s="22" t="s">
        <v>13</v>
      </c>
      <c r="E28" s="13" t="str">
        <f>+IF(F28=0,0,CONCATENATE(MID(F28,FIND("-",F28,1)+1,4),"ORAS"))</f>
        <v>15 HORAS</v>
      </c>
      <c r="F28" s="14" t="s">
        <v>21</v>
      </c>
      <c r="G28" s="316">
        <f>+IF(F28="","",VLOOKUP(F28,$H$140:I$192,2,FALSE))</f>
        <v>514916</v>
      </c>
      <c r="H28" s="2"/>
      <c r="I28" s="2"/>
      <c r="J28" s="2"/>
      <c r="K28" s="2"/>
      <c r="L28" s="2"/>
      <c r="M28" s="2"/>
      <c r="N28" s="2"/>
      <c r="O28" s="2"/>
      <c r="P28" s="2"/>
      <c r="Q28" s="2"/>
      <c r="R28" s="2"/>
      <c r="S28" s="2"/>
      <c r="T28" s="2"/>
      <c r="U28" s="2"/>
      <c r="V28" s="2"/>
      <c r="W28" s="2"/>
      <c r="X28" s="2"/>
      <c r="Y28" s="2"/>
    </row>
    <row r="29" spans="1:31" ht="15.75" customHeight="1" x14ac:dyDescent="0.2">
      <c r="A29" s="79" t="s">
        <v>48</v>
      </c>
      <c r="B29" s="51" t="str">
        <f>+IF(F29=0,0,MID(F29,LEN(F29)-3,1))</f>
        <v>3</v>
      </c>
      <c r="C29" s="80">
        <v>1</v>
      </c>
      <c r="D29" s="22" t="s">
        <v>13</v>
      </c>
      <c r="E29" s="13" t="str">
        <f>+IF(F29=0,0,CONCATENATE(MID(F29,FIND("-",F29,1)+1,4),"ORAS"))</f>
        <v>15 HORAS</v>
      </c>
      <c r="F29" s="14" t="s">
        <v>21</v>
      </c>
      <c r="G29" s="308">
        <f>+IF(F29="","",VLOOKUP(F29,$H$140:I$192,2,FALSE))</f>
        <v>514916</v>
      </c>
      <c r="H29" s="2"/>
      <c r="I29" s="2"/>
      <c r="J29" s="2"/>
      <c r="K29" s="2"/>
      <c r="L29" s="2"/>
      <c r="M29" s="2"/>
      <c r="N29" s="2"/>
      <c r="O29" s="2"/>
      <c r="P29" s="2"/>
      <c r="Q29" s="2"/>
      <c r="R29" s="2"/>
      <c r="S29" s="74" t="s">
        <v>45</v>
      </c>
      <c r="T29" s="75">
        <f>T4+T5+T6+T15+T16</f>
        <v>17</v>
      </c>
      <c r="U29" s="75">
        <f>SUM(U4:U7,U22)</f>
        <v>4</v>
      </c>
      <c r="V29" s="2"/>
      <c r="W29" s="2"/>
      <c r="X29" s="2"/>
      <c r="Y29" s="76">
        <f>SUM(Y4:Y26)</f>
        <v>4073754</v>
      </c>
    </row>
    <row r="30" spans="1:31" ht="15.75" x14ac:dyDescent="0.2">
      <c r="A30" s="79" t="s">
        <v>49</v>
      </c>
      <c r="B30" s="51">
        <v>3</v>
      </c>
      <c r="C30" s="80">
        <v>1</v>
      </c>
      <c r="D30" s="22" t="s">
        <v>13</v>
      </c>
      <c r="E30" s="13" t="str">
        <f t="shared" ref="E30" si="6">+IF(F30=0,0,CONCATENATE(MID(F30,FIND("-",F30,1)+1,4),"ORAS"))</f>
        <v>15 HORAS</v>
      </c>
      <c r="F30" s="14" t="s">
        <v>21</v>
      </c>
      <c r="G30" s="308">
        <f>+IF(F30="","",VLOOKUP(F30,$H$140:I$192,2,FALSE))</f>
        <v>514916</v>
      </c>
      <c r="H30" s="2"/>
      <c r="I30" s="2"/>
      <c r="J30" s="2"/>
      <c r="K30" s="2"/>
      <c r="L30" s="2"/>
      <c r="M30" s="2"/>
      <c r="N30" s="2"/>
      <c r="O30" s="2"/>
      <c r="P30" s="2"/>
      <c r="Q30" s="2"/>
      <c r="R30" s="2"/>
      <c r="S30" s="2"/>
      <c r="T30" s="2"/>
      <c r="U30" s="2"/>
      <c r="V30" s="2"/>
      <c r="W30" s="2"/>
      <c r="X30" s="2"/>
      <c r="Y30" s="2"/>
    </row>
    <row r="31" spans="1:31" ht="15.75" x14ac:dyDescent="0.2">
      <c r="A31" s="81"/>
      <c r="B31" s="51"/>
      <c r="C31" s="80"/>
      <c r="D31" s="22"/>
      <c r="E31" s="13"/>
      <c r="F31" s="57"/>
      <c r="G31" s="19"/>
      <c r="H31" s="2"/>
      <c r="I31" s="2"/>
      <c r="J31" s="2"/>
      <c r="K31" s="2"/>
      <c r="L31" s="2"/>
      <c r="M31" s="2"/>
      <c r="N31" s="2"/>
      <c r="O31" s="2"/>
      <c r="P31" s="2"/>
      <c r="Q31" s="2"/>
      <c r="R31" s="2"/>
      <c r="S31" s="2"/>
      <c r="T31" s="2"/>
      <c r="U31" s="2"/>
      <c r="V31" s="2"/>
      <c r="W31" s="2"/>
      <c r="X31" s="2"/>
      <c r="Y31" s="2"/>
    </row>
    <row r="32" spans="1:31" ht="15.75" x14ac:dyDescent="0.2">
      <c r="A32" s="81"/>
      <c r="B32" s="80"/>
      <c r="C32" s="80"/>
      <c r="D32" s="22"/>
      <c r="E32" s="13"/>
      <c r="F32" s="57"/>
      <c r="G32" s="19"/>
      <c r="H32" s="2"/>
      <c r="I32" s="2"/>
      <c r="J32" s="2"/>
      <c r="K32" s="2"/>
      <c r="L32" s="2"/>
      <c r="M32" s="2"/>
      <c r="N32" s="2"/>
      <c r="O32" s="2"/>
      <c r="P32" s="2"/>
      <c r="Q32" s="2"/>
      <c r="R32" s="2"/>
      <c r="S32" s="2"/>
      <c r="T32" s="2"/>
      <c r="U32" s="2"/>
      <c r="V32" s="2"/>
      <c r="W32" s="2"/>
      <c r="X32" s="2"/>
      <c r="Y32" s="2"/>
    </row>
    <row r="33" spans="1:25" ht="15.75" x14ac:dyDescent="0.2">
      <c r="A33" s="372" t="s">
        <v>33</v>
      </c>
      <c r="B33" s="372"/>
      <c r="C33" s="372"/>
      <c r="D33" s="372"/>
      <c r="E33" s="372"/>
      <c r="F33" s="372"/>
      <c r="G33" s="372"/>
      <c r="H33" s="2"/>
      <c r="I33" s="2"/>
      <c r="J33" s="2"/>
      <c r="K33" s="2"/>
      <c r="L33" s="2"/>
      <c r="M33" s="2"/>
      <c r="N33" s="2"/>
      <c r="O33" s="2"/>
      <c r="P33" s="2"/>
      <c r="Q33" s="2"/>
      <c r="R33" s="2"/>
      <c r="S33" s="2"/>
      <c r="T33" s="2"/>
      <c r="U33" s="2"/>
      <c r="V33" s="2"/>
      <c r="W33" s="2"/>
      <c r="X33" s="2"/>
      <c r="Y33" s="2"/>
    </row>
    <row r="34" spans="1:25" ht="15.75" x14ac:dyDescent="0.2">
      <c r="A34" s="64"/>
      <c r="B34" s="70" t="s">
        <v>5</v>
      </c>
      <c r="C34" s="70" t="s">
        <v>6</v>
      </c>
      <c r="D34" s="70" t="s">
        <v>7</v>
      </c>
      <c r="E34" s="70"/>
      <c r="F34" s="70" t="s">
        <v>9</v>
      </c>
      <c r="G34" s="70" t="s">
        <v>10</v>
      </c>
      <c r="H34" s="2"/>
      <c r="I34" s="2"/>
      <c r="J34" s="2"/>
      <c r="K34" s="2"/>
      <c r="L34" s="2"/>
      <c r="M34" s="2"/>
      <c r="N34" s="2"/>
      <c r="O34" s="2"/>
      <c r="P34" s="2"/>
      <c r="Q34" s="2"/>
      <c r="R34" s="2"/>
      <c r="S34" s="2"/>
      <c r="T34" s="2"/>
      <c r="U34" s="2"/>
      <c r="V34" s="2"/>
      <c r="W34" s="2"/>
      <c r="X34" s="2"/>
      <c r="Y34" s="82"/>
    </row>
    <row r="35" spans="1:25" ht="15.75" x14ac:dyDescent="0.25">
      <c r="A35" s="10" t="s">
        <v>50</v>
      </c>
      <c r="B35" s="51" t="str">
        <f>+IF(F35=0,0,MID(F35,LEN(F35)-3,1))</f>
        <v>3</v>
      </c>
      <c r="C35" s="343">
        <v>1</v>
      </c>
      <c r="D35" s="22" t="s">
        <v>13</v>
      </c>
      <c r="E35" s="13" t="str">
        <f>+IF(F35=0,0,CONCATENATE(MID(F35,FIND("-",F35,1)+1,4),"ORAS"))</f>
        <v>15 HORAS</v>
      </c>
      <c r="F35" s="14" t="s">
        <v>17</v>
      </c>
      <c r="G35" s="308">
        <f>+IF(F35="","",VLOOKUP(F35,$H$140:I$192,2,FALSE))</f>
        <v>443323</v>
      </c>
      <c r="H35" s="2"/>
      <c r="I35" s="2"/>
      <c r="J35" s="2"/>
      <c r="K35" s="2"/>
      <c r="L35" s="2"/>
      <c r="M35" s="2"/>
      <c r="N35" s="2"/>
      <c r="O35" s="2"/>
      <c r="P35" s="2"/>
      <c r="Q35" s="2"/>
      <c r="R35" s="2"/>
      <c r="S35" s="2"/>
      <c r="T35" s="2"/>
      <c r="U35" s="2"/>
      <c r="V35" s="2"/>
      <c r="W35" s="2"/>
      <c r="X35" s="2"/>
      <c r="Y35" s="82"/>
    </row>
    <row r="36" spans="1:25" ht="15.75" x14ac:dyDescent="0.25">
      <c r="A36" s="79" t="s">
        <v>51</v>
      </c>
      <c r="B36" s="51" t="str">
        <f>+IF(F36=0,0,MID(F36,LEN(F36)-3,1))</f>
        <v>3</v>
      </c>
      <c r="C36" s="343">
        <v>1</v>
      </c>
      <c r="D36" s="22" t="s">
        <v>13</v>
      </c>
      <c r="E36" s="13" t="str">
        <f>+IF(F36=0,0,CONCATENATE(MID(F36,FIND("-",F36,1)+1,4),"ORAS"))</f>
        <v>15 HORAS</v>
      </c>
      <c r="F36" s="14" t="s">
        <v>17</v>
      </c>
      <c r="G36" s="308">
        <f>+IF(F36="","",VLOOKUP(F36,$H$140:I$192,2,FALSE))</f>
        <v>443323</v>
      </c>
      <c r="H36" s="2"/>
      <c r="I36" s="2"/>
      <c r="J36" s="2"/>
      <c r="K36" s="2"/>
      <c r="L36" s="2"/>
      <c r="M36" s="2"/>
      <c r="N36" s="2"/>
      <c r="O36" s="2"/>
      <c r="P36" s="2"/>
      <c r="Q36" s="2"/>
      <c r="R36" s="2"/>
      <c r="S36" s="2"/>
      <c r="T36" s="2"/>
      <c r="U36" s="2"/>
      <c r="V36" s="2"/>
      <c r="W36" s="2"/>
      <c r="X36" s="2"/>
      <c r="Y36" s="2"/>
    </row>
    <row r="37" spans="1:25" ht="15.75" x14ac:dyDescent="0.25">
      <c r="A37" s="34" t="s">
        <v>53</v>
      </c>
      <c r="B37" s="51" t="str">
        <f>+IF(F37=0,0,MID(F37,LEN(F37)-3,1))</f>
        <v>3</v>
      </c>
      <c r="C37" s="343">
        <v>1</v>
      </c>
      <c r="D37" s="22" t="s">
        <v>13</v>
      </c>
      <c r="E37" s="13" t="str">
        <f>+IF(F37=0,0,CONCATENATE(MID(F37,FIND("-",F37,1)+1,4),"ORAS"))</f>
        <v>15 HORAS</v>
      </c>
      <c r="F37" s="14" t="s">
        <v>17</v>
      </c>
      <c r="G37" s="308">
        <f>+IF(F37="","",VLOOKUP(F37,$H$140:I$192,2,FALSE))</f>
        <v>443323</v>
      </c>
      <c r="H37" s="2"/>
      <c r="I37" s="2"/>
      <c r="J37" s="2"/>
      <c r="K37" s="2"/>
      <c r="L37" s="2"/>
      <c r="M37" s="2"/>
      <c r="N37" s="2"/>
      <c r="O37" s="2"/>
      <c r="P37" s="2"/>
      <c r="Q37" s="2"/>
      <c r="R37" s="2"/>
      <c r="S37" s="2"/>
      <c r="T37" s="2"/>
      <c r="U37" s="2"/>
      <c r="V37" s="2"/>
      <c r="W37" s="2"/>
      <c r="X37" s="2"/>
      <c r="Y37" s="2"/>
    </row>
    <row r="38" spans="1:25" ht="15.75" x14ac:dyDescent="0.25">
      <c r="A38" s="34"/>
      <c r="B38" s="51"/>
      <c r="C38" s="343"/>
      <c r="D38" s="22"/>
      <c r="E38" s="13">
        <f>+IF(F38=0,0,CONCATENATE(MID(F38,FIND("-",F38,1)+1,4),"ORAS"))</f>
        <v>0</v>
      </c>
      <c r="F38" s="14">
        <v>0</v>
      </c>
      <c r="G38" s="19">
        <f>+IF(F38="","",VLOOKUP(F38,$H$140:I$192,2,FALSE))</f>
        <v>0</v>
      </c>
      <c r="H38" s="2"/>
      <c r="I38" s="2"/>
      <c r="J38" s="2"/>
      <c r="K38" s="2"/>
      <c r="L38" s="2"/>
      <c r="M38" s="2"/>
      <c r="N38" s="2"/>
      <c r="O38" s="2"/>
      <c r="P38" s="2"/>
      <c r="Q38" s="2"/>
      <c r="R38" s="2"/>
      <c r="S38" s="2"/>
      <c r="T38" s="2"/>
      <c r="U38" s="2"/>
      <c r="V38" s="2"/>
      <c r="W38" s="2"/>
      <c r="X38" s="2"/>
      <c r="Y38" s="2"/>
    </row>
    <row r="39" spans="1:25" ht="15.75" x14ac:dyDescent="0.25">
      <c r="A39" s="84"/>
      <c r="B39" s="51"/>
      <c r="C39" s="343"/>
      <c r="D39" s="22"/>
      <c r="E39" s="13">
        <f>+IF(F39=0,0,CONCATENATE(MID(F39,FIND("-",F39,1)+1,4),"ORAS"))</f>
        <v>0</v>
      </c>
      <c r="F39" s="14">
        <v>0</v>
      </c>
      <c r="G39" s="19">
        <f>+IF(F39="","",VLOOKUP(F39,$H$140:I$192,2,FALSE))</f>
        <v>0</v>
      </c>
      <c r="H39" s="2"/>
      <c r="I39" s="2"/>
      <c r="J39" s="2"/>
      <c r="K39" s="2"/>
      <c r="L39" s="2"/>
      <c r="M39" s="2"/>
      <c r="N39" s="2"/>
      <c r="O39" s="2"/>
      <c r="P39" s="2"/>
      <c r="Q39" s="2"/>
      <c r="R39" s="2"/>
      <c r="S39" s="2"/>
      <c r="T39" s="2"/>
      <c r="U39" s="2"/>
      <c r="V39" s="2"/>
      <c r="W39" s="2"/>
      <c r="X39" s="2"/>
      <c r="Y39" s="2"/>
    </row>
    <row r="40" spans="1:25" ht="15.75" x14ac:dyDescent="0.2">
      <c r="A40" s="85"/>
      <c r="B40" s="16"/>
      <c r="C40" s="86"/>
      <c r="D40" s="43"/>
      <c r="E40" s="13"/>
      <c r="F40" s="57"/>
      <c r="G40" s="19"/>
      <c r="H40" s="2"/>
      <c r="I40" s="2"/>
      <c r="J40" s="2"/>
      <c r="K40" s="2"/>
      <c r="L40" s="2"/>
      <c r="M40" s="2"/>
      <c r="N40" s="2"/>
      <c r="O40" s="2"/>
      <c r="P40" s="2"/>
      <c r="Q40" s="2"/>
      <c r="R40" s="2"/>
      <c r="S40" s="2"/>
      <c r="T40" s="2"/>
      <c r="U40" s="2"/>
      <c r="V40" s="2"/>
      <c r="W40" s="2"/>
      <c r="X40" s="2"/>
      <c r="Y40" s="2"/>
    </row>
    <row r="41" spans="1:25" ht="15.75" x14ac:dyDescent="0.2">
      <c r="A41" s="60" t="s">
        <v>42</v>
      </c>
      <c r="B41" s="61">
        <f>+B27+B28+B29+B35+B36+B37+B38+B39+B30</f>
        <v>21</v>
      </c>
      <c r="C41" s="62">
        <f>SUM(C27:C32)+C35+C36+C37+C38+C39+C40</f>
        <v>7</v>
      </c>
      <c r="D41" s="62"/>
      <c r="E41" s="13">
        <f>+IF(F41=0,0,CONCATENATE(MID(F41,FIND("-",F41,1)+1,3),"ORAS"))</f>
        <v>0</v>
      </c>
      <c r="F41" s="62"/>
      <c r="G41" s="44">
        <f>SUM(G27:G32,G35:G40)</f>
        <v>3389633</v>
      </c>
      <c r="H41" s="2"/>
      <c r="I41" s="2"/>
      <c r="J41" s="2"/>
      <c r="K41" s="2"/>
      <c r="L41" s="2"/>
      <c r="M41" s="2"/>
      <c r="N41" s="2"/>
      <c r="O41" s="2"/>
      <c r="P41" s="2"/>
      <c r="Q41" s="2"/>
      <c r="R41" s="2"/>
      <c r="S41" s="2"/>
      <c r="T41" s="2"/>
      <c r="U41" s="2"/>
      <c r="V41" s="2"/>
      <c r="W41" s="2"/>
      <c r="X41" s="2"/>
      <c r="Y41" s="2"/>
    </row>
    <row r="42" spans="1:25" ht="15.75" x14ac:dyDescent="0.2">
      <c r="A42" s="373" t="s">
        <v>54</v>
      </c>
      <c r="B42" s="373"/>
      <c r="C42" s="373"/>
      <c r="D42" s="373"/>
      <c r="E42" s="373"/>
      <c r="F42" s="373"/>
      <c r="G42" s="373"/>
      <c r="H42" s="2"/>
      <c r="I42" s="2"/>
      <c r="J42" s="2"/>
      <c r="K42" s="2"/>
      <c r="L42" s="2"/>
      <c r="M42" s="2"/>
      <c r="N42" s="2"/>
      <c r="O42" s="2"/>
      <c r="P42" s="2"/>
      <c r="Q42" s="2"/>
      <c r="R42" s="2"/>
      <c r="S42" s="2"/>
      <c r="T42" s="2"/>
      <c r="U42" s="2"/>
      <c r="V42" s="2"/>
      <c r="W42" s="2"/>
      <c r="X42" s="2"/>
      <c r="Y42" s="2"/>
    </row>
    <row r="43" spans="1:25" ht="15.75" x14ac:dyDescent="0.2">
      <c r="A43" s="373" t="s">
        <v>1</v>
      </c>
      <c r="B43" s="373"/>
      <c r="C43" s="373"/>
      <c r="D43" s="373"/>
      <c r="E43" s="373"/>
      <c r="F43" s="373"/>
      <c r="G43" s="373"/>
      <c r="H43" s="2"/>
      <c r="I43" s="2"/>
      <c r="J43" s="2"/>
      <c r="K43" s="2"/>
      <c r="L43" s="2"/>
      <c r="M43" s="2"/>
      <c r="N43" s="2"/>
      <c r="O43" s="2"/>
      <c r="P43" s="2"/>
      <c r="Q43" s="2"/>
      <c r="R43" s="2"/>
      <c r="S43" s="2"/>
      <c r="T43" s="2"/>
      <c r="U43" s="2"/>
      <c r="V43" s="2"/>
      <c r="W43" s="2"/>
      <c r="X43" s="2"/>
      <c r="Y43" s="2"/>
    </row>
    <row r="44" spans="1:25" ht="15.75" x14ac:dyDescent="0.2">
      <c r="A44" s="87" t="s">
        <v>4</v>
      </c>
      <c r="B44" s="88" t="s">
        <v>5</v>
      </c>
      <c r="C44" s="88" t="s">
        <v>6</v>
      </c>
      <c r="D44" s="88" t="s">
        <v>7</v>
      </c>
      <c r="E44" s="88" t="s">
        <v>8</v>
      </c>
      <c r="F44" s="88" t="s">
        <v>9</v>
      </c>
      <c r="G44" s="88" t="s">
        <v>10</v>
      </c>
      <c r="H44" s="2"/>
      <c r="I44" s="2"/>
      <c r="J44" s="2"/>
      <c r="K44" s="2"/>
      <c r="L44" s="2"/>
      <c r="M44" s="2"/>
      <c r="N44" s="2"/>
      <c r="O44" s="2"/>
      <c r="P44" s="2"/>
      <c r="Q44" s="2"/>
      <c r="R44" s="2"/>
      <c r="S44" s="2"/>
      <c r="T44" s="2"/>
      <c r="U44" s="2"/>
      <c r="V44" s="2"/>
      <c r="W44" s="2"/>
      <c r="X44" s="2"/>
      <c r="Y44" s="2"/>
    </row>
    <row r="45" spans="1:25" ht="15.75" x14ac:dyDescent="0.2">
      <c r="A45" s="89"/>
      <c r="B45" s="90"/>
      <c r="C45" s="90"/>
      <c r="D45" s="91"/>
      <c r="E45" s="91"/>
      <c r="F45" s="91"/>
      <c r="G45" s="92"/>
      <c r="H45" s="2"/>
      <c r="I45" s="2"/>
      <c r="J45" s="2"/>
      <c r="K45" s="2"/>
      <c r="L45" s="2"/>
      <c r="M45" s="2"/>
      <c r="N45" s="2"/>
      <c r="O45" s="2"/>
      <c r="P45" s="2"/>
      <c r="Q45" s="2"/>
      <c r="R45" s="2"/>
      <c r="S45" s="2"/>
      <c r="T45" s="2"/>
      <c r="U45" s="2"/>
      <c r="V45" s="2"/>
      <c r="W45" s="2"/>
      <c r="X45" s="2"/>
      <c r="Y45" s="2"/>
    </row>
    <row r="46" spans="1:25" ht="1.5" customHeight="1" x14ac:dyDescent="0.2">
      <c r="A46" s="89"/>
      <c r="B46" s="90"/>
      <c r="C46" s="90"/>
      <c r="D46" s="90"/>
      <c r="E46" s="90"/>
      <c r="F46" s="90"/>
      <c r="G46" s="90"/>
      <c r="H46" s="2"/>
      <c r="I46" s="2"/>
      <c r="J46" s="2"/>
      <c r="K46" s="2"/>
      <c r="L46" s="2"/>
      <c r="M46" s="2"/>
      <c r="N46" s="2"/>
      <c r="O46" s="2"/>
      <c r="P46" s="2"/>
      <c r="Q46" s="2"/>
      <c r="R46" s="2"/>
      <c r="S46" s="2"/>
      <c r="T46" s="2"/>
      <c r="U46" s="2"/>
      <c r="V46" s="2"/>
      <c r="W46" s="2"/>
      <c r="X46" s="2"/>
      <c r="Y46" s="2"/>
    </row>
    <row r="47" spans="1:25" ht="15.75" x14ac:dyDescent="0.25">
      <c r="A47" s="53"/>
      <c r="B47" s="16"/>
      <c r="C47" s="343"/>
      <c r="D47" s="22"/>
      <c r="E47" s="13"/>
      <c r="F47" s="57"/>
      <c r="G47" s="57"/>
      <c r="H47" s="2"/>
      <c r="I47" s="2"/>
      <c r="J47" s="374"/>
      <c r="K47" s="374"/>
      <c r="L47" s="374"/>
      <c r="M47" s="374"/>
      <c r="N47" s="374"/>
      <c r="O47" s="374"/>
      <c r="P47" s="374"/>
      <c r="Q47" s="2"/>
      <c r="R47" s="2"/>
      <c r="S47" s="2"/>
      <c r="T47" s="2"/>
      <c r="U47" s="2"/>
      <c r="V47" s="2"/>
      <c r="W47" s="2"/>
      <c r="X47" s="2"/>
      <c r="Y47" s="2"/>
    </row>
    <row r="48" spans="1:25" ht="15.75" x14ac:dyDescent="0.2">
      <c r="A48" s="93"/>
      <c r="B48" s="16"/>
      <c r="C48" s="57"/>
      <c r="D48" s="57"/>
      <c r="E48" s="13"/>
      <c r="F48" s="57"/>
      <c r="G48" s="57"/>
      <c r="H48" s="2"/>
      <c r="I48" s="2"/>
      <c r="J48" s="374"/>
      <c r="K48" s="374"/>
      <c r="L48" s="374"/>
      <c r="M48" s="374"/>
      <c r="N48" s="374"/>
      <c r="O48" s="374"/>
      <c r="P48" s="374"/>
      <c r="Q48" s="2"/>
      <c r="R48" s="2"/>
      <c r="S48" s="2"/>
      <c r="T48" s="2"/>
      <c r="U48" s="2"/>
      <c r="V48" s="2"/>
      <c r="W48" s="2"/>
      <c r="X48" s="2"/>
      <c r="Y48" s="2"/>
    </row>
    <row r="49" spans="1:25" ht="15.75" x14ac:dyDescent="0.2">
      <c r="A49" s="93"/>
      <c r="B49" s="16"/>
      <c r="C49" s="57"/>
      <c r="D49" s="57"/>
      <c r="E49" s="13"/>
      <c r="F49" s="57"/>
      <c r="G49" s="57"/>
      <c r="H49" s="2"/>
      <c r="I49" s="2"/>
      <c r="J49" s="374"/>
      <c r="K49" s="374"/>
      <c r="L49" s="374"/>
      <c r="M49" s="374"/>
      <c r="N49" s="374"/>
      <c r="O49" s="374"/>
      <c r="P49" s="374"/>
      <c r="Q49" s="2"/>
      <c r="R49" s="2"/>
      <c r="S49" s="2"/>
      <c r="T49" s="2"/>
      <c r="U49" s="2"/>
      <c r="V49" s="2"/>
      <c r="W49" s="2"/>
      <c r="X49" s="2"/>
      <c r="Y49" s="2"/>
    </row>
    <row r="50" spans="1:25" ht="15.75" x14ac:dyDescent="0.2">
      <c r="A50" s="93"/>
      <c r="B50" s="16"/>
      <c r="C50" s="57"/>
      <c r="D50" s="57"/>
      <c r="E50" s="13"/>
      <c r="F50" s="57"/>
      <c r="G50" s="57"/>
      <c r="H50" s="2"/>
      <c r="I50" s="2"/>
      <c r="J50" s="374"/>
      <c r="K50" s="374"/>
      <c r="L50" s="374"/>
      <c r="M50" s="374"/>
      <c r="N50" s="374"/>
      <c r="O50" s="374"/>
      <c r="P50" s="374"/>
      <c r="Q50" s="2"/>
      <c r="R50" s="2"/>
      <c r="S50" s="2"/>
      <c r="T50" s="2"/>
      <c r="U50" s="2"/>
      <c r="V50" s="2"/>
      <c r="W50" s="2"/>
      <c r="X50" s="2"/>
      <c r="Y50" s="2"/>
    </row>
    <row r="51" spans="1:25" ht="15.75" x14ac:dyDescent="0.2">
      <c r="A51" s="93"/>
      <c r="B51" s="57"/>
      <c r="C51" s="57"/>
      <c r="D51" s="57"/>
      <c r="E51" s="13"/>
      <c r="F51" s="57"/>
      <c r="G51" s="57"/>
      <c r="H51" s="2"/>
      <c r="I51" s="2"/>
      <c r="J51" s="374"/>
      <c r="K51" s="374"/>
      <c r="L51" s="374"/>
      <c r="M51" s="374"/>
      <c r="N51" s="374"/>
      <c r="O51" s="374"/>
      <c r="P51" s="374"/>
      <c r="Q51" s="2"/>
      <c r="R51" s="2"/>
      <c r="S51" s="2"/>
      <c r="T51" s="2"/>
      <c r="U51" s="2"/>
      <c r="V51" s="2"/>
      <c r="W51" s="2"/>
      <c r="X51" s="2"/>
      <c r="Y51" s="2"/>
    </row>
    <row r="52" spans="1:25" ht="15.75" x14ac:dyDescent="0.2">
      <c r="A52" s="93"/>
      <c r="B52" s="57"/>
      <c r="C52" s="57"/>
      <c r="D52" s="57"/>
      <c r="E52" s="13"/>
      <c r="F52" s="57"/>
      <c r="G52" s="57"/>
      <c r="H52" s="2"/>
      <c r="I52" s="2"/>
      <c r="J52" s="374"/>
      <c r="K52" s="374"/>
      <c r="L52" s="374"/>
      <c r="M52" s="374"/>
      <c r="N52" s="374"/>
      <c r="O52" s="374"/>
      <c r="P52" s="374"/>
      <c r="Q52" s="2"/>
      <c r="R52" s="2"/>
      <c r="S52" s="2"/>
      <c r="T52" s="2"/>
      <c r="U52" s="2"/>
      <c r="V52" s="2"/>
      <c r="W52" s="2"/>
      <c r="X52" s="2"/>
      <c r="Y52" s="2"/>
    </row>
    <row r="53" spans="1:25" ht="15.75" x14ac:dyDescent="0.2">
      <c r="A53" s="376" t="s">
        <v>33</v>
      </c>
      <c r="B53" s="376"/>
      <c r="C53" s="376"/>
      <c r="D53" s="376"/>
      <c r="E53" s="376"/>
      <c r="F53" s="376"/>
      <c r="G53" s="376"/>
      <c r="H53" s="2"/>
      <c r="I53" s="2"/>
      <c r="J53" s="374"/>
      <c r="K53" s="374"/>
      <c r="L53" s="374"/>
      <c r="M53" s="374"/>
      <c r="N53" s="374"/>
      <c r="O53" s="374"/>
      <c r="P53" s="374"/>
      <c r="Q53" s="2"/>
      <c r="R53" s="2"/>
      <c r="S53" s="2"/>
      <c r="T53" s="2"/>
      <c r="U53" s="2"/>
      <c r="V53" s="2"/>
      <c r="W53" s="2"/>
      <c r="X53" s="2"/>
      <c r="Y53" s="2"/>
    </row>
    <row r="54" spans="1:25" ht="15.75" x14ac:dyDescent="0.2">
      <c r="A54" s="87" t="s">
        <v>4</v>
      </c>
      <c r="B54" s="88" t="s">
        <v>5</v>
      </c>
      <c r="C54" s="88" t="s">
        <v>6</v>
      </c>
      <c r="D54" s="88" t="s">
        <v>7</v>
      </c>
      <c r="E54" s="88" t="s">
        <v>8</v>
      </c>
      <c r="F54" s="88" t="s">
        <v>9</v>
      </c>
      <c r="G54" s="88" t="s">
        <v>10</v>
      </c>
      <c r="H54" s="2"/>
      <c r="I54" s="2"/>
      <c r="J54" s="374"/>
      <c r="K54" s="374"/>
      <c r="L54" s="374"/>
      <c r="M54" s="374"/>
      <c r="N54" s="374"/>
      <c r="O54" s="374"/>
      <c r="P54" s="374"/>
      <c r="Q54" s="2"/>
      <c r="R54" s="2"/>
      <c r="S54" s="2"/>
      <c r="T54" s="2"/>
      <c r="U54" s="2"/>
      <c r="V54" s="2"/>
      <c r="W54" s="2"/>
      <c r="X54" s="2"/>
      <c r="Y54" s="2"/>
    </row>
    <row r="55" spans="1:25" ht="15.75" x14ac:dyDescent="0.25">
      <c r="A55" s="53" t="s">
        <v>55</v>
      </c>
      <c r="B55" s="94" t="str">
        <f t="shared" ref="B55:B64" si="7">+IF(F55=0,0,MID(F55,LEN(F55)-3,1))</f>
        <v>3</v>
      </c>
      <c r="C55" s="343">
        <v>1</v>
      </c>
      <c r="D55" s="22" t="s">
        <v>13</v>
      </c>
      <c r="E55" s="13" t="str">
        <f t="shared" ref="E55:E64" si="8">+IF(F55=0,0,CONCATENATE(MID(F55,FIND("-",F55,1)+1,4),"ORAS"))</f>
        <v>15 HORAS</v>
      </c>
      <c r="F55" s="14" t="s">
        <v>17</v>
      </c>
      <c r="G55" s="308">
        <f>+IF(F55="","",VLOOKUP(F55,$H$140:I$192,2,FALSE))</f>
        <v>443323</v>
      </c>
      <c r="H55" s="2"/>
      <c r="I55" s="2"/>
      <c r="J55" s="374"/>
      <c r="K55" s="374"/>
      <c r="L55" s="374"/>
      <c r="M55" s="374"/>
      <c r="N55" s="374"/>
      <c r="O55" s="374"/>
      <c r="P55" s="374"/>
      <c r="Q55" s="2"/>
      <c r="R55" s="2"/>
      <c r="S55" s="2"/>
      <c r="T55" s="2"/>
      <c r="U55" s="2"/>
      <c r="V55" s="2"/>
      <c r="W55" s="2"/>
      <c r="X55" s="2"/>
      <c r="Y55" s="2"/>
    </row>
    <row r="56" spans="1:25" ht="15.75" x14ac:dyDescent="0.25">
      <c r="A56" s="53" t="s">
        <v>56</v>
      </c>
      <c r="B56" s="94" t="str">
        <f t="shared" si="7"/>
        <v>3</v>
      </c>
      <c r="C56" s="343">
        <v>1</v>
      </c>
      <c r="D56" s="22" t="s">
        <v>13</v>
      </c>
      <c r="E56" s="13" t="str">
        <f t="shared" si="8"/>
        <v>15 HORAS</v>
      </c>
      <c r="F56" s="14" t="s">
        <v>17</v>
      </c>
      <c r="G56" s="308">
        <f>+IF(F56="","",VLOOKUP(F56,$H$140:I$192,2,FALSE))</f>
        <v>443323</v>
      </c>
      <c r="H56" s="2"/>
      <c r="I56" s="2"/>
      <c r="J56" s="374"/>
      <c r="K56" s="374"/>
      <c r="L56" s="374"/>
      <c r="M56" s="374"/>
      <c r="N56" s="374"/>
      <c r="O56" s="374"/>
      <c r="P56" s="374"/>
      <c r="Q56" s="2"/>
      <c r="R56" s="2"/>
      <c r="S56" s="2"/>
      <c r="T56" s="2"/>
      <c r="U56" s="2"/>
      <c r="V56" s="2"/>
      <c r="W56" s="2"/>
      <c r="X56" s="2"/>
      <c r="Y56" s="2"/>
    </row>
    <row r="57" spans="1:25" ht="15.75" x14ac:dyDescent="0.25">
      <c r="A57" s="53" t="s">
        <v>57</v>
      </c>
      <c r="B57" s="94" t="str">
        <f t="shared" si="7"/>
        <v>3</v>
      </c>
      <c r="C57" s="343">
        <v>1</v>
      </c>
      <c r="D57" s="22" t="s">
        <v>13</v>
      </c>
      <c r="E57" s="13" t="str">
        <f t="shared" si="8"/>
        <v>15 HORAS</v>
      </c>
      <c r="F57" s="14" t="s">
        <v>17</v>
      </c>
      <c r="G57" s="308">
        <f>+IF(F57="","",VLOOKUP(F57,$H$140:I$192,2,FALSE))</f>
        <v>443323</v>
      </c>
      <c r="H57" s="2"/>
      <c r="I57" s="2"/>
      <c r="J57" s="374"/>
      <c r="K57" s="374"/>
      <c r="L57" s="374"/>
      <c r="M57" s="374"/>
      <c r="N57" s="374"/>
      <c r="O57" s="374"/>
      <c r="P57" s="374"/>
      <c r="Q57" s="2"/>
      <c r="R57" s="2"/>
      <c r="S57" s="2"/>
      <c r="T57" s="2"/>
      <c r="U57" s="2"/>
      <c r="V57" s="2"/>
      <c r="W57" s="2"/>
      <c r="X57" s="2"/>
      <c r="Y57" s="2"/>
    </row>
    <row r="58" spans="1:25" ht="15.75" x14ac:dyDescent="0.25">
      <c r="A58" s="53" t="s">
        <v>253</v>
      </c>
      <c r="B58" s="94" t="str">
        <f t="shared" si="7"/>
        <v>3</v>
      </c>
      <c r="C58" s="343">
        <v>1</v>
      </c>
      <c r="D58" s="22" t="s">
        <v>13</v>
      </c>
      <c r="E58" s="13" t="str">
        <f t="shared" si="8"/>
        <v>15 HORAS</v>
      </c>
      <c r="F58" s="14" t="s">
        <v>17</v>
      </c>
      <c r="G58" s="308">
        <f>+IF(F58="","",VLOOKUP(F58,$H$140:I$192,2,FALSE))</f>
        <v>443323</v>
      </c>
      <c r="H58" s="2"/>
      <c r="I58" s="2"/>
      <c r="J58" s="374"/>
      <c r="K58" s="374"/>
      <c r="L58" s="374"/>
      <c r="M58" s="374"/>
      <c r="N58" s="374"/>
      <c r="O58" s="374"/>
      <c r="P58" s="374"/>
      <c r="Q58" s="2"/>
      <c r="R58" s="2"/>
      <c r="S58" s="2"/>
      <c r="T58" s="2"/>
      <c r="U58" s="2"/>
      <c r="V58" s="2"/>
      <c r="W58" s="2"/>
      <c r="X58" s="2"/>
      <c r="Y58" s="2"/>
    </row>
    <row r="59" spans="1:25" ht="15.75" x14ac:dyDescent="0.25">
      <c r="A59" s="96" t="s">
        <v>254</v>
      </c>
      <c r="B59" s="94" t="str">
        <f t="shared" si="7"/>
        <v>3</v>
      </c>
      <c r="C59" s="343">
        <v>1</v>
      </c>
      <c r="D59" s="22" t="s">
        <v>13</v>
      </c>
      <c r="E59" s="13" t="str">
        <f t="shared" si="8"/>
        <v>15 HORAS</v>
      </c>
      <c r="F59" s="14" t="s">
        <v>17</v>
      </c>
      <c r="G59" s="308">
        <f>+IF(F59="","",VLOOKUP(F59,$H$140:I$192,2,FALSE))</f>
        <v>443323</v>
      </c>
      <c r="H59" s="2"/>
      <c r="I59" s="2"/>
      <c r="J59" s="374"/>
      <c r="K59" s="374"/>
      <c r="L59" s="374"/>
      <c r="M59" s="374"/>
      <c r="N59" s="374"/>
      <c r="O59" s="374"/>
      <c r="P59" s="374"/>
      <c r="Q59" s="2"/>
      <c r="R59" s="2"/>
      <c r="S59" s="2"/>
      <c r="T59" s="2"/>
      <c r="U59" s="2"/>
      <c r="V59" s="2"/>
      <c r="W59" s="2"/>
      <c r="X59" s="2"/>
      <c r="Y59" s="2"/>
    </row>
    <row r="60" spans="1:25" ht="15.75" x14ac:dyDescent="0.25">
      <c r="A60" s="96" t="s">
        <v>255</v>
      </c>
      <c r="B60" s="94" t="str">
        <f t="shared" si="7"/>
        <v>3</v>
      </c>
      <c r="C60" s="343">
        <v>1</v>
      </c>
      <c r="D60" s="22" t="s">
        <v>13</v>
      </c>
      <c r="E60" s="13" t="str">
        <f t="shared" si="8"/>
        <v>15 HORAS</v>
      </c>
      <c r="F60" s="14" t="s">
        <v>17</v>
      </c>
      <c r="G60" s="308">
        <f>+IF(F60="","",VLOOKUP(F60,$H$140:I$192,2,FALSE))</f>
        <v>443323</v>
      </c>
      <c r="H60" s="2"/>
      <c r="I60" s="2"/>
      <c r="J60" s="374"/>
      <c r="K60" s="374"/>
      <c r="L60" s="374"/>
      <c r="M60" s="374"/>
      <c r="N60" s="374"/>
      <c r="O60" s="374"/>
      <c r="P60" s="374"/>
      <c r="Q60" s="2"/>
      <c r="R60" s="2"/>
      <c r="S60" s="2"/>
      <c r="T60" s="2"/>
      <c r="U60" s="2"/>
      <c r="V60" s="2"/>
      <c r="W60" s="2"/>
      <c r="X60" s="2"/>
      <c r="Y60" s="2"/>
    </row>
    <row r="61" spans="1:25" ht="15.75" x14ac:dyDescent="0.25">
      <c r="A61" s="96" t="s">
        <v>256</v>
      </c>
      <c r="B61" s="94" t="str">
        <f t="shared" si="7"/>
        <v>2</v>
      </c>
      <c r="C61" s="343">
        <v>1</v>
      </c>
      <c r="D61" s="22" t="s">
        <v>13</v>
      </c>
      <c r="E61" s="13" t="str">
        <f t="shared" si="8"/>
        <v>15 HORAS</v>
      </c>
      <c r="F61" s="14" t="s">
        <v>138</v>
      </c>
      <c r="G61" s="316">
        <f>+IF(F61="","",VLOOKUP(F61,$H$140:I$192,2,FALSE))</f>
        <v>388652</v>
      </c>
      <c r="H61" s="2"/>
      <c r="I61" s="2"/>
      <c r="J61" s="374"/>
      <c r="K61" s="374"/>
      <c r="L61" s="374"/>
      <c r="M61" s="374"/>
      <c r="N61" s="374"/>
      <c r="O61" s="374"/>
      <c r="P61" s="374"/>
      <c r="Q61" s="2"/>
      <c r="R61" s="2"/>
      <c r="S61" s="2"/>
      <c r="T61" s="2"/>
      <c r="U61" s="2"/>
      <c r="V61" s="2"/>
      <c r="W61" s="2"/>
      <c r="X61" s="2"/>
      <c r="Y61" s="2"/>
    </row>
    <row r="62" spans="1:25" ht="15.75" x14ac:dyDescent="0.25">
      <c r="A62" s="96" t="s">
        <v>257</v>
      </c>
      <c r="B62" s="94" t="str">
        <f t="shared" si="7"/>
        <v>3</v>
      </c>
      <c r="C62" s="343">
        <v>1</v>
      </c>
      <c r="D62" s="22" t="s">
        <v>13</v>
      </c>
      <c r="E62" s="13" t="str">
        <f t="shared" si="8"/>
        <v>15 HORAS</v>
      </c>
      <c r="F62" s="14" t="s">
        <v>17</v>
      </c>
      <c r="G62" s="308">
        <f>+IF(F62="","",VLOOKUP(F62,$H$140:I$192,2,FALSE))</f>
        <v>443323</v>
      </c>
      <c r="H62" s="2"/>
      <c r="I62" s="2"/>
      <c r="J62" s="374"/>
      <c r="K62" s="374"/>
      <c r="L62" s="374"/>
      <c r="M62" s="374"/>
      <c r="N62" s="374"/>
      <c r="O62" s="374"/>
      <c r="P62" s="374"/>
      <c r="Q62" s="2"/>
      <c r="R62" s="2"/>
      <c r="S62" s="2"/>
      <c r="T62" s="2"/>
      <c r="U62" s="2"/>
      <c r="V62" s="2"/>
      <c r="W62" s="2"/>
      <c r="X62" s="2"/>
      <c r="Y62" s="2"/>
    </row>
    <row r="63" spans="1:25" ht="15.75" x14ac:dyDescent="0.25">
      <c r="A63" s="95" t="s">
        <v>58</v>
      </c>
      <c r="B63" s="94" t="str">
        <f t="shared" si="7"/>
        <v>3</v>
      </c>
      <c r="C63" s="343">
        <v>1</v>
      </c>
      <c r="D63" s="22" t="s">
        <v>13</v>
      </c>
      <c r="E63" s="13" t="str">
        <f t="shared" si="8"/>
        <v>15 HORAS</v>
      </c>
      <c r="F63" s="14" t="s">
        <v>17</v>
      </c>
      <c r="G63" s="308">
        <f>+IF(F63="","",VLOOKUP(F63,$H$140:I$192,2,FALSE))</f>
        <v>443323</v>
      </c>
      <c r="H63" s="2"/>
      <c r="I63" s="2"/>
      <c r="J63" s="374"/>
      <c r="K63" s="374"/>
      <c r="L63" s="374"/>
      <c r="M63" s="374"/>
      <c r="N63" s="374"/>
      <c r="O63" s="374"/>
      <c r="P63" s="374"/>
      <c r="Q63" s="2"/>
      <c r="R63" s="2"/>
      <c r="S63" s="2"/>
      <c r="T63" s="2"/>
      <c r="U63" s="2"/>
      <c r="V63" s="2"/>
      <c r="W63" s="2"/>
      <c r="X63" s="2"/>
      <c r="Y63" s="2"/>
    </row>
    <row r="64" spans="1:25" ht="15.75" x14ac:dyDescent="0.25">
      <c r="A64" s="95" t="s">
        <v>59</v>
      </c>
      <c r="B64" s="94" t="str">
        <f t="shared" si="7"/>
        <v>3</v>
      </c>
      <c r="C64" s="343">
        <v>1</v>
      </c>
      <c r="D64" s="22" t="s">
        <v>13</v>
      </c>
      <c r="E64" s="13" t="str">
        <f t="shared" si="8"/>
        <v>15 HORAS</v>
      </c>
      <c r="F64" s="14" t="s">
        <v>17</v>
      </c>
      <c r="G64" s="308">
        <f>+IF(F64="","",VLOOKUP(F64,$H$140:I$192,2,FALSE))</f>
        <v>443323</v>
      </c>
      <c r="H64" s="2"/>
      <c r="I64" s="2"/>
      <c r="J64" s="374"/>
      <c r="K64" s="374"/>
      <c r="L64" s="374"/>
      <c r="M64" s="374"/>
      <c r="N64" s="374"/>
      <c r="O64" s="374"/>
      <c r="P64" s="374"/>
      <c r="Q64" s="2"/>
      <c r="R64" s="2"/>
      <c r="S64" s="2"/>
      <c r="T64" s="2"/>
      <c r="U64" s="2"/>
      <c r="V64" s="2"/>
      <c r="W64" s="2"/>
      <c r="X64" s="2"/>
      <c r="Y64" s="2"/>
    </row>
    <row r="65" spans="1:31" ht="15.75" x14ac:dyDescent="0.25">
      <c r="A65" s="93"/>
      <c r="B65" s="16"/>
      <c r="C65" s="343"/>
      <c r="D65" s="97"/>
      <c r="E65" s="14"/>
      <c r="F65" s="14"/>
      <c r="G65" s="30"/>
      <c r="H65" s="2"/>
      <c r="I65" s="2"/>
      <c r="J65" s="374"/>
      <c r="K65" s="374"/>
      <c r="L65" s="374"/>
      <c r="M65" s="374"/>
      <c r="N65" s="374"/>
      <c r="O65" s="374"/>
      <c r="P65" s="374"/>
      <c r="Q65" s="2"/>
      <c r="R65" s="2"/>
      <c r="S65" s="2"/>
      <c r="T65" s="2"/>
      <c r="U65" s="2"/>
      <c r="V65" s="2"/>
      <c r="W65" s="2"/>
      <c r="X65" s="2"/>
      <c r="Y65" s="2"/>
    </row>
    <row r="66" spans="1:31" ht="15.75" x14ac:dyDescent="0.2">
      <c r="A66" s="93" t="s">
        <v>42</v>
      </c>
      <c r="B66" s="61">
        <f>B47+B48+B49+B50+B51+B52+B55+B56+B57+B58+B59+B60+B61+B62+B63+B64</f>
        <v>29</v>
      </c>
      <c r="C66" s="62">
        <f>SUM(C47:C52,C55:C65)</f>
        <v>10</v>
      </c>
      <c r="D66" s="62"/>
      <c r="E66" s="98"/>
      <c r="F66" s="62"/>
      <c r="G66" s="44">
        <f>SUM(G47:G52,G55:G65)</f>
        <v>4378559</v>
      </c>
      <c r="H66" s="2"/>
      <c r="I66" s="2"/>
      <c r="J66" s="374"/>
      <c r="K66" s="374"/>
      <c r="L66" s="374"/>
      <c r="M66" s="374"/>
      <c r="N66" s="374"/>
      <c r="O66" s="374"/>
      <c r="P66" s="374"/>
      <c r="Q66" s="2"/>
      <c r="R66" s="2"/>
      <c r="S66" s="2"/>
      <c r="T66" s="2"/>
      <c r="U66" s="2"/>
      <c r="V66" s="2"/>
      <c r="W66" s="2"/>
      <c r="X66" s="2"/>
      <c r="Y66" s="2"/>
    </row>
    <row r="67" spans="1:31" ht="15" x14ac:dyDescent="0.2">
      <c r="A67" s="2"/>
      <c r="B67" s="2"/>
      <c r="C67" s="2"/>
      <c r="D67" s="2"/>
      <c r="E67" s="2"/>
      <c r="F67" s="2"/>
      <c r="G67" s="2"/>
      <c r="H67" s="2"/>
      <c r="I67" s="2"/>
      <c r="J67" s="2"/>
      <c r="K67" s="2"/>
      <c r="L67" s="2"/>
      <c r="M67" s="2"/>
      <c r="N67" s="2"/>
      <c r="O67" s="2"/>
      <c r="P67" s="2"/>
      <c r="Q67" s="2"/>
      <c r="R67" s="2"/>
      <c r="S67" s="2"/>
      <c r="T67" s="2"/>
      <c r="U67" s="2"/>
      <c r="V67" s="2"/>
      <c r="W67" s="2"/>
      <c r="X67" s="2"/>
      <c r="Y67" s="2"/>
    </row>
    <row r="68" spans="1:31" ht="15" x14ac:dyDescent="0.2">
      <c r="A68" s="74" t="s">
        <v>45</v>
      </c>
      <c r="B68" s="99">
        <f>B66+B41+B23</f>
        <v>74</v>
      </c>
      <c r="C68" s="99">
        <f>C66+C41+C23</f>
        <v>24</v>
      </c>
      <c r="D68" s="74"/>
      <c r="E68" s="2"/>
      <c r="F68" s="2"/>
      <c r="G68" s="44">
        <f>SUM(G23,G41,G66)</f>
        <v>11889290</v>
      </c>
      <c r="H68" s="2"/>
      <c r="I68" s="2"/>
      <c r="J68" s="2"/>
      <c r="K68" s="2"/>
      <c r="L68" s="2"/>
      <c r="M68" s="2"/>
      <c r="N68" s="2"/>
      <c r="O68" s="2"/>
      <c r="P68" s="2"/>
      <c r="Q68" s="2"/>
      <c r="R68" s="2"/>
      <c r="S68" s="2"/>
      <c r="T68" s="2"/>
      <c r="U68" s="2"/>
      <c r="V68" s="2"/>
      <c r="W68" s="2"/>
      <c r="X68" s="2"/>
      <c r="Y68" s="2"/>
    </row>
    <row r="69" spans="1:31" ht="15.75" x14ac:dyDescent="0.25">
      <c r="A69" s="2"/>
      <c r="B69" s="2"/>
      <c r="C69" s="2"/>
      <c r="D69" s="2"/>
      <c r="E69" s="2"/>
      <c r="F69" s="2"/>
      <c r="G69" s="2"/>
      <c r="H69" s="2"/>
      <c r="I69" s="2"/>
      <c r="J69" s="100" t="s">
        <v>60</v>
      </c>
      <c r="K69" s="101">
        <f>K26+B68+T29+AB26</f>
        <v>104</v>
      </c>
      <c r="L69" s="102"/>
      <c r="M69" s="103"/>
      <c r="N69" s="103"/>
      <c r="O69" s="103"/>
      <c r="P69" s="103"/>
      <c r="Q69" s="2"/>
      <c r="R69" s="2"/>
      <c r="S69" s="2"/>
      <c r="T69" s="2"/>
      <c r="U69" s="2"/>
      <c r="V69" s="2"/>
      <c r="W69" s="2"/>
      <c r="X69" s="2"/>
      <c r="Y69" s="2"/>
    </row>
    <row r="70" spans="1:31" ht="16.5" thickBot="1" x14ac:dyDescent="0.3">
      <c r="A70" s="2"/>
      <c r="B70" s="2"/>
      <c r="C70" s="2"/>
      <c r="D70" s="2"/>
      <c r="E70" s="2"/>
      <c r="F70" s="2"/>
      <c r="G70" s="2"/>
      <c r="H70" s="2"/>
      <c r="I70" s="2"/>
      <c r="J70" s="100" t="s">
        <v>61</v>
      </c>
      <c r="K70" s="104">
        <f>L26+C68+U29+AC26</f>
        <v>33</v>
      </c>
      <c r="L70" s="2"/>
      <c r="M70" s="105" t="s">
        <v>0</v>
      </c>
      <c r="N70" s="105" t="s">
        <v>43</v>
      </c>
      <c r="O70" s="105" t="s">
        <v>54</v>
      </c>
      <c r="P70" s="106"/>
      <c r="R70" s="107"/>
      <c r="T70" s="2"/>
      <c r="U70" s="2"/>
      <c r="V70" s="2"/>
      <c r="W70" s="2"/>
      <c r="X70" s="2"/>
      <c r="Y70" s="2"/>
    </row>
    <row r="71" spans="1:31" ht="27" customHeight="1" thickBot="1" x14ac:dyDescent="0.3">
      <c r="A71" s="2"/>
      <c r="B71" s="2"/>
      <c r="C71" s="2"/>
      <c r="D71" s="2"/>
      <c r="E71" s="2"/>
      <c r="F71" s="2"/>
      <c r="G71" s="2"/>
      <c r="H71" s="2"/>
      <c r="I71" s="2"/>
      <c r="J71" s="108" t="s">
        <v>62</v>
      </c>
      <c r="K71" s="377">
        <f>SUM(G68,P26,Y29)</f>
        <v>17533751</v>
      </c>
      <c r="L71" s="378"/>
      <c r="M71" s="109">
        <f>SUM(G4:G12,G16:G22,Y20:Y21)</f>
        <v>4867566</v>
      </c>
      <c r="N71" s="110">
        <f>SUM(G27:G32,G35:G40,P4:P15,P18:P25,Y4:Y7,Y15:Y16,Y22:Y23)</f>
        <v>7345938</v>
      </c>
      <c r="O71" s="109">
        <f>SUM(G47:G52,G55:G64,Y24,Y25,Y26)</f>
        <v>5320247</v>
      </c>
      <c r="P71" s="111">
        <f>SUM(M71:O71)</f>
        <v>17533751</v>
      </c>
      <c r="R71" s="112"/>
      <c r="S71" s="113"/>
      <c r="T71" s="2"/>
      <c r="U71" s="2"/>
      <c r="V71" s="2"/>
      <c r="W71" s="2"/>
      <c r="X71" s="2"/>
      <c r="Y71" s="2"/>
    </row>
    <row r="72" spans="1:31" ht="13.5" thickBot="1" x14ac:dyDescent="0.25"/>
    <row r="73" spans="1:31" ht="36" customHeight="1" thickBot="1" x14ac:dyDescent="0.25">
      <c r="A73" s="365" t="s">
        <v>63</v>
      </c>
      <c r="B73" s="366"/>
      <c r="C73" s="366"/>
      <c r="D73" s="366"/>
      <c r="E73" s="366"/>
      <c r="F73" s="366"/>
      <c r="G73" s="366"/>
      <c r="H73" s="366"/>
      <c r="I73" s="366"/>
      <c r="J73" s="366"/>
      <c r="K73" s="366"/>
      <c r="L73" s="366"/>
      <c r="M73" s="366"/>
      <c r="N73" s="366"/>
      <c r="O73" s="366"/>
      <c r="P73" s="366"/>
      <c r="Q73" s="366"/>
      <c r="R73" s="366"/>
      <c r="S73" s="366"/>
      <c r="T73" s="366"/>
      <c r="U73" s="366"/>
      <c r="V73" s="366"/>
      <c r="W73" s="366"/>
      <c r="X73" s="366"/>
      <c r="Y73" s="366"/>
      <c r="Z73" s="366"/>
      <c r="AA73" s="366"/>
      <c r="AB73" s="366"/>
      <c r="AC73" s="366"/>
      <c r="AD73" s="366"/>
      <c r="AE73" s="367"/>
    </row>
    <row r="74" spans="1:31" ht="286.5" customHeight="1" x14ac:dyDescent="0.2">
      <c r="A74" s="359" t="s">
        <v>354</v>
      </c>
      <c r="B74" s="360"/>
      <c r="C74" s="360"/>
      <c r="D74" s="360"/>
      <c r="E74" s="360"/>
      <c r="F74" s="360"/>
      <c r="G74" s="360"/>
      <c r="H74" s="360"/>
      <c r="I74" s="360"/>
      <c r="J74" s="360"/>
      <c r="K74" s="360"/>
      <c r="L74" s="360"/>
      <c r="M74" s="360"/>
      <c r="N74" s="360"/>
      <c r="O74" s="360"/>
      <c r="P74" s="360"/>
      <c r="Q74" s="360"/>
      <c r="R74" s="360"/>
      <c r="S74" s="360"/>
      <c r="T74" s="360"/>
      <c r="U74" s="360"/>
      <c r="V74" s="360"/>
      <c r="W74" s="360"/>
      <c r="X74" s="360"/>
      <c r="Y74" s="360"/>
      <c r="Z74" s="360"/>
      <c r="AA74" s="360"/>
      <c r="AB74" s="360"/>
      <c r="AC74" s="360"/>
      <c r="AD74" s="360"/>
      <c r="AE74" s="360"/>
    </row>
    <row r="75" spans="1:31" ht="222.75" customHeight="1" x14ac:dyDescent="0.2">
      <c r="A75" s="361"/>
      <c r="B75" s="360"/>
      <c r="C75" s="360"/>
      <c r="D75" s="360"/>
      <c r="E75" s="360"/>
      <c r="F75" s="360"/>
      <c r="G75" s="360"/>
      <c r="H75" s="360"/>
      <c r="I75" s="360"/>
      <c r="J75" s="360"/>
      <c r="K75" s="360"/>
      <c r="L75" s="360"/>
      <c r="M75" s="360"/>
      <c r="N75" s="360"/>
      <c r="O75" s="360"/>
      <c r="P75" s="360"/>
      <c r="Q75" s="360"/>
      <c r="R75" s="360"/>
      <c r="S75" s="360"/>
      <c r="T75" s="360"/>
      <c r="U75" s="360"/>
      <c r="V75" s="360"/>
      <c r="W75" s="360"/>
      <c r="X75" s="360"/>
      <c r="Y75" s="360"/>
      <c r="Z75" s="360"/>
      <c r="AA75" s="360"/>
      <c r="AB75" s="360"/>
      <c r="AC75" s="360"/>
      <c r="AD75" s="360"/>
      <c r="AE75" s="360"/>
    </row>
    <row r="76" spans="1:31" ht="109.5" customHeight="1" x14ac:dyDescent="0.2">
      <c r="A76" s="361"/>
      <c r="B76" s="360"/>
      <c r="C76" s="360"/>
      <c r="D76" s="360"/>
      <c r="E76" s="360"/>
      <c r="F76" s="360"/>
      <c r="G76" s="360"/>
      <c r="H76" s="360"/>
      <c r="I76" s="360"/>
      <c r="J76" s="360"/>
      <c r="K76" s="360"/>
      <c r="L76" s="360"/>
      <c r="M76" s="360"/>
      <c r="N76" s="360"/>
      <c r="O76" s="360"/>
      <c r="P76" s="360"/>
      <c r="Q76" s="360"/>
      <c r="R76" s="360"/>
      <c r="S76" s="360"/>
      <c r="T76" s="360"/>
      <c r="U76" s="360"/>
      <c r="V76" s="360"/>
      <c r="W76" s="360"/>
      <c r="X76" s="360"/>
      <c r="Y76" s="360"/>
      <c r="Z76" s="360"/>
      <c r="AA76" s="360"/>
      <c r="AB76" s="360"/>
      <c r="AC76" s="360"/>
      <c r="AD76" s="360"/>
      <c r="AE76" s="360"/>
    </row>
    <row r="77" spans="1:31" ht="148.5" customHeight="1" x14ac:dyDescent="0.2">
      <c r="A77" s="361"/>
      <c r="B77" s="360"/>
      <c r="C77" s="360"/>
      <c r="D77" s="360"/>
      <c r="E77" s="360"/>
      <c r="F77" s="360"/>
      <c r="G77" s="360"/>
      <c r="H77" s="360"/>
      <c r="I77" s="360"/>
      <c r="J77" s="360"/>
      <c r="K77" s="360"/>
      <c r="L77" s="360"/>
      <c r="M77" s="360"/>
      <c r="N77" s="360"/>
      <c r="O77" s="360"/>
      <c r="P77" s="360"/>
      <c r="Q77" s="360"/>
      <c r="R77" s="360"/>
      <c r="S77" s="360"/>
      <c r="T77" s="360"/>
      <c r="U77" s="360"/>
      <c r="V77" s="360"/>
      <c r="W77" s="360"/>
      <c r="X77" s="360"/>
      <c r="Y77" s="360"/>
      <c r="Z77" s="360"/>
      <c r="AA77" s="360"/>
      <c r="AB77" s="360"/>
      <c r="AC77" s="360"/>
      <c r="AD77" s="360"/>
      <c r="AE77" s="360"/>
    </row>
    <row r="78" spans="1:31" ht="90" customHeight="1" x14ac:dyDescent="0.2">
      <c r="A78" s="361"/>
      <c r="B78" s="360"/>
      <c r="C78" s="360"/>
      <c r="D78" s="360"/>
      <c r="E78" s="360"/>
      <c r="F78" s="360"/>
      <c r="G78" s="360"/>
      <c r="H78" s="360"/>
      <c r="I78" s="360"/>
      <c r="J78" s="360"/>
      <c r="K78" s="360"/>
      <c r="L78" s="360"/>
      <c r="M78" s="360"/>
      <c r="N78" s="360"/>
      <c r="O78" s="360"/>
      <c r="P78" s="360"/>
      <c r="Q78" s="360"/>
      <c r="R78" s="360"/>
      <c r="S78" s="360"/>
      <c r="T78" s="360"/>
      <c r="U78" s="360"/>
      <c r="V78" s="360"/>
      <c r="W78" s="360"/>
      <c r="X78" s="360"/>
      <c r="Y78" s="360"/>
      <c r="Z78" s="360"/>
      <c r="AA78" s="360"/>
      <c r="AB78" s="360"/>
      <c r="AC78" s="360"/>
      <c r="AD78" s="360"/>
      <c r="AE78" s="360"/>
    </row>
    <row r="79" spans="1:31" ht="156" customHeight="1" x14ac:dyDescent="0.2">
      <c r="A79" s="361"/>
      <c r="B79" s="360"/>
      <c r="C79" s="360"/>
      <c r="D79" s="360"/>
      <c r="E79" s="360"/>
      <c r="F79" s="360"/>
      <c r="G79" s="360"/>
      <c r="H79" s="360"/>
      <c r="I79" s="360"/>
      <c r="J79" s="360"/>
      <c r="K79" s="360"/>
      <c r="L79" s="360"/>
      <c r="M79" s="360"/>
      <c r="N79" s="360"/>
      <c r="O79" s="360"/>
      <c r="P79" s="360"/>
      <c r="Q79" s="360"/>
      <c r="R79" s="360"/>
      <c r="S79" s="360"/>
      <c r="T79" s="360"/>
      <c r="U79" s="360"/>
      <c r="V79" s="360"/>
      <c r="W79" s="360"/>
      <c r="X79" s="360"/>
      <c r="Y79" s="360"/>
      <c r="Z79" s="360"/>
      <c r="AA79" s="360"/>
      <c r="AB79" s="360"/>
      <c r="AC79" s="360"/>
      <c r="AD79" s="360"/>
      <c r="AE79" s="360"/>
    </row>
    <row r="80" spans="1:31" ht="258" customHeight="1" x14ac:dyDescent="0.2">
      <c r="A80" s="361"/>
      <c r="B80" s="360"/>
      <c r="C80" s="360"/>
      <c r="D80" s="360"/>
      <c r="E80" s="360"/>
      <c r="F80" s="360"/>
      <c r="G80" s="360"/>
      <c r="H80" s="360"/>
      <c r="I80" s="360"/>
      <c r="J80" s="360"/>
      <c r="K80" s="360"/>
      <c r="L80" s="360"/>
      <c r="M80" s="360"/>
      <c r="N80" s="360"/>
      <c r="O80" s="360"/>
      <c r="P80" s="360"/>
      <c r="Q80" s="360"/>
      <c r="R80" s="360"/>
      <c r="S80" s="360"/>
      <c r="T80" s="360"/>
      <c r="U80" s="360"/>
      <c r="V80" s="360"/>
      <c r="W80" s="360"/>
      <c r="X80" s="360"/>
      <c r="Y80" s="360"/>
      <c r="Z80" s="360"/>
      <c r="AA80" s="360"/>
      <c r="AB80" s="360"/>
      <c r="AC80" s="360"/>
      <c r="AD80" s="360"/>
      <c r="AE80" s="360"/>
    </row>
    <row r="81" spans="1:21" ht="18.75" x14ac:dyDescent="0.2">
      <c r="S81" s="114"/>
      <c r="T81" s="115"/>
      <c r="U81" s="114"/>
    </row>
    <row r="82" spans="1:21" ht="18.75" x14ac:dyDescent="0.2">
      <c r="S82" s="114"/>
      <c r="T82" s="115"/>
      <c r="U82" s="114"/>
    </row>
    <row r="83" spans="1:21" ht="18.75" x14ac:dyDescent="0.2">
      <c r="A83" s="362"/>
      <c r="S83" s="114"/>
      <c r="T83" s="115"/>
      <c r="U83" s="114"/>
    </row>
    <row r="84" spans="1:21" ht="18.75" x14ac:dyDescent="0.2">
      <c r="A84" s="362"/>
      <c r="S84" s="114"/>
      <c r="T84" s="115"/>
      <c r="U84" s="114"/>
    </row>
    <row r="85" spans="1:21" ht="18.75" x14ac:dyDescent="0.2">
      <c r="A85" s="362"/>
      <c r="S85" s="114"/>
      <c r="T85" s="115"/>
      <c r="U85" s="114"/>
    </row>
    <row r="86" spans="1:21" ht="18.75" x14ac:dyDescent="0.25">
      <c r="A86" s="117"/>
      <c r="S86" s="114"/>
      <c r="T86" s="115"/>
      <c r="U86" s="114"/>
    </row>
    <row r="87" spans="1:21" ht="18.75" x14ac:dyDescent="0.25">
      <c r="A87" s="117"/>
      <c r="S87" s="114"/>
      <c r="T87" s="115"/>
      <c r="U87" s="114"/>
    </row>
    <row r="88" spans="1:21" ht="18.75" x14ac:dyDescent="0.25">
      <c r="A88" s="116"/>
      <c r="S88" s="114"/>
      <c r="T88" s="115"/>
      <c r="U88" s="114"/>
    </row>
    <row r="89" spans="1:21" ht="18.75" x14ac:dyDescent="0.2">
      <c r="A89" s="362" t="s">
        <v>64</v>
      </c>
      <c r="B89" s="364"/>
      <c r="S89" s="114"/>
      <c r="T89" s="115"/>
      <c r="U89" s="114"/>
    </row>
    <row r="90" spans="1:21" ht="18.75" x14ac:dyDescent="0.2">
      <c r="A90" s="363"/>
      <c r="B90" s="364"/>
      <c r="S90" s="114"/>
      <c r="T90" s="115"/>
      <c r="U90" s="114"/>
    </row>
    <row r="91" spans="1:21" ht="18.75" x14ac:dyDescent="0.2">
      <c r="A91" s="363"/>
      <c r="B91" s="364"/>
      <c r="S91" s="114"/>
      <c r="T91" s="115"/>
      <c r="U91" s="114"/>
    </row>
    <row r="92" spans="1:21" ht="18.75" x14ac:dyDescent="0.25">
      <c r="A92" s="117"/>
      <c r="B92" s="118"/>
      <c r="S92" s="114"/>
      <c r="T92" s="115"/>
      <c r="U92" s="114"/>
    </row>
    <row r="93" spans="1:21" ht="12.75" customHeight="1" x14ac:dyDescent="0.25">
      <c r="A93" s="119"/>
    </row>
    <row r="94" spans="1:21" ht="12.75" customHeight="1" x14ac:dyDescent="0.2">
      <c r="A94" s="353" t="s">
        <v>65</v>
      </c>
    </row>
    <row r="95" spans="1:21" ht="12.75" customHeight="1" x14ac:dyDescent="0.2">
      <c r="A95" s="354"/>
    </row>
    <row r="96" spans="1:21" ht="12.75" customHeight="1" x14ac:dyDescent="0.2">
      <c r="A96" s="354"/>
    </row>
    <row r="97" spans="1:1" ht="249.75" customHeight="1" x14ac:dyDescent="0.2">
      <c r="A97" s="120"/>
    </row>
    <row r="98" spans="1:1" x14ac:dyDescent="0.2">
      <c r="A98" s="121"/>
    </row>
    <row r="99" spans="1:1" x14ac:dyDescent="0.2">
      <c r="A99" s="121"/>
    </row>
    <row r="100" spans="1:1" x14ac:dyDescent="0.2">
      <c r="A100" s="121"/>
    </row>
    <row r="101" spans="1:1" x14ac:dyDescent="0.2">
      <c r="A101" s="121"/>
    </row>
    <row r="102" spans="1:1" x14ac:dyDescent="0.2">
      <c r="A102" s="121"/>
    </row>
    <row r="103" spans="1:1" x14ac:dyDescent="0.2">
      <c r="A103" s="121"/>
    </row>
    <row r="104" spans="1:1" x14ac:dyDescent="0.2">
      <c r="A104" s="121"/>
    </row>
    <row r="139" spans="6:14" x14ac:dyDescent="0.2">
      <c r="J139" s="3" t="s">
        <v>66</v>
      </c>
      <c r="K139" s="3" t="s">
        <v>67</v>
      </c>
    </row>
    <row r="140" spans="6:14" s="122" customFormat="1" x14ac:dyDescent="0.2">
      <c r="F140" s="122">
        <v>0</v>
      </c>
      <c r="G140" s="122">
        <v>0</v>
      </c>
      <c r="H140" s="122">
        <v>0</v>
      </c>
      <c r="I140" s="122">
        <v>0</v>
      </c>
      <c r="J140" s="122">
        <v>0</v>
      </c>
      <c r="K140" s="122">
        <v>0</v>
      </c>
      <c r="L140" s="122">
        <v>0</v>
      </c>
      <c r="M140" s="122">
        <v>0</v>
      </c>
      <c r="N140" s="122" t="str">
        <f>+CONCATENATE(G140,"VEHICULO",M140)</f>
        <v>0VEHICULO0</v>
      </c>
    </row>
    <row r="141" spans="6:14" s="122" customFormat="1" x14ac:dyDescent="0.2">
      <c r="F141" s="122" t="s">
        <v>68</v>
      </c>
      <c r="G141" s="122" t="s">
        <v>69</v>
      </c>
      <c r="H141" s="122" t="s">
        <v>14</v>
      </c>
      <c r="I141" s="123">
        <v>582964</v>
      </c>
      <c r="J141" s="123" t="s">
        <v>70</v>
      </c>
      <c r="K141" s="124">
        <v>4</v>
      </c>
      <c r="L141" s="122" t="s">
        <v>71</v>
      </c>
      <c r="M141" s="122" t="s">
        <v>72</v>
      </c>
      <c r="N141" s="122" t="str">
        <f t="shared" ref="N141:N187" si="9">+CONCATENATE(G141,F141)</f>
        <v>1.40m³-15H-4OP</v>
      </c>
    </row>
    <row r="142" spans="6:14" s="122" customFormat="1" x14ac:dyDescent="0.2">
      <c r="F142" s="122" t="s">
        <v>73</v>
      </c>
      <c r="G142" s="122" t="s">
        <v>74</v>
      </c>
      <c r="H142" s="122" t="s">
        <v>21</v>
      </c>
      <c r="I142" s="123">
        <v>514916</v>
      </c>
      <c r="J142" s="123" t="s">
        <v>70</v>
      </c>
      <c r="K142" s="124">
        <v>3</v>
      </c>
      <c r="L142" s="122" t="s">
        <v>75</v>
      </c>
      <c r="M142" s="122" t="s">
        <v>72</v>
      </c>
      <c r="N142" s="122" t="str">
        <f t="shared" si="9"/>
        <v>2.40m³-15H-3OP</v>
      </c>
    </row>
    <row r="143" spans="6:14" s="122" customFormat="1" x14ac:dyDescent="0.2">
      <c r="F143" s="122" t="s">
        <v>76</v>
      </c>
      <c r="G143" s="122" t="s">
        <v>77</v>
      </c>
      <c r="H143" s="122" t="s">
        <v>78</v>
      </c>
      <c r="I143" s="123">
        <v>448638</v>
      </c>
      <c r="J143" s="123" t="s">
        <v>70</v>
      </c>
      <c r="K143" s="124">
        <v>2</v>
      </c>
      <c r="L143" s="122" t="s">
        <v>79</v>
      </c>
      <c r="M143" s="122" t="s">
        <v>72</v>
      </c>
      <c r="N143" s="122" t="str">
        <f t="shared" si="9"/>
        <v>3.40m³-15H-2OP</v>
      </c>
    </row>
    <row r="144" spans="6:14" s="122" customFormat="1" x14ac:dyDescent="0.2">
      <c r="F144" s="122" t="s">
        <v>80</v>
      </c>
      <c r="G144" s="122" t="s">
        <v>81</v>
      </c>
      <c r="H144" s="122" t="s">
        <v>82</v>
      </c>
      <c r="I144" s="123">
        <v>381163</v>
      </c>
      <c r="J144" s="123" t="s">
        <v>70</v>
      </c>
      <c r="K144" s="124">
        <v>1</v>
      </c>
      <c r="L144" s="122" t="s">
        <v>83</v>
      </c>
      <c r="M144" s="122" t="s">
        <v>72</v>
      </c>
      <c r="N144" s="122" t="str">
        <f t="shared" si="9"/>
        <v>4.40m³-15H-1OP</v>
      </c>
    </row>
    <row r="145" spans="6:14" s="122" customFormat="1" x14ac:dyDescent="0.2">
      <c r="F145" s="122" t="s">
        <v>84</v>
      </c>
      <c r="G145" s="122" t="s">
        <v>85</v>
      </c>
      <c r="H145" s="122" t="s">
        <v>86</v>
      </c>
      <c r="I145" s="123">
        <v>321680</v>
      </c>
      <c r="J145" s="123" t="s">
        <v>70</v>
      </c>
      <c r="K145" s="124">
        <v>0</v>
      </c>
      <c r="L145" s="122" t="s">
        <v>87</v>
      </c>
      <c r="M145" s="122" t="s">
        <v>72</v>
      </c>
      <c r="N145" s="122" t="str">
        <f t="shared" si="9"/>
        <v>5.40m³-15H-0OP</v>
      </c>
    </row>
    <row r="146" spans="6:14" s="122" customFormat="1" x14ac:dyDescent="0.2">
      <c r="F146" s="122" t="s">
        <v>88</v>
      </c>
      <c r="G146" s="122" t="s">
        <v>89</v>
      </c>
      <c r="H146" s="122" t="s">
        <v>90</v>
      </c>
      <c r="I146" s="123">
        <v>509192</v>
      </c>
      <c r="J146" s="123" t="s">
        <v>91</v>
      </c>
      <c r="K146" s="124">
        <v>4</v>
      </c>
      <c r="L146" s="122" t="s">
        <v>92</v>
      </c>
      <c r="M146" s="122" t="s">
        <v>72</v>
      </c>
      <c r="N146" s="122" t="str">
        <f t="shared" si="9"/>
        <v>6.40m³-9H-4OP</v>
      </c>
    </row>
    <row r="147" spans="6:14" s="122" customFormat="1" x14ac:dyDescent="0.2">
      <c r="F147" s="122" t="s">
        <v>93</v>
      </c>
      <c r="G147" s="122" t="s">
        <v>94</v>
      </c>
      <c r="H147" s="122" t="s">
        <v>95</v>
      </c>
      <c r="I147" s="123">
        <v>450204</v>
      </c>
      <c r="J147" s="123" t="s">
        <v>91</v>
      </c>
      <c r="K147" s="124">
        <v>3</v>
      </c>
      <c r="L147" s="122" t="s">
        <v>96</v>
      </c>
      <c r="M147" s="122" t="s">
        <v>72</v>
      </c>
      <c r="N147" s="122" t="str">
        <f t="shared" si="9"/>
        <v>7.40m³-9H-3OP</v>
      </c>
    </row>
    <row r="148" spans="6:14" s="122" customFormat="1" x14ac:dyDescent="0.2">
      <c r="F148" s="122" t="s">
        <v>97</v>
      </c>
      <c r="G148" s="122" t="s">
        <v>98</v>
      </c>
      <c r="H148" s="122" t="s">
        <v>99</v>
      </c>
      <c r="I148" s="123">
        <v>392186</v>
      </c>
      <c r="J148" s="123" t="s">
        <v>91</v>
      </c>
      <c r="K148" s="124">
        <v>2</v>
      </c>
      <c r="L148" s="122" t="s">
        <v>100</v>
      </c>
      <c r="M148" s="122" t="s">
        <v>72</v>
      </c>
      <c r="N148" s="122" t="str">
        <f t="shared" si="9"/>
        <v>8.40m³-9H-2OP</v>
      </c>
    </row>
    <row r="149" spans="6:14" s="122" customFormat="1" x14ac:dyDescent="0.2">
      <c r="F149" s="122" t="s">
        <v>101</v>
      </c>
      <c r="G149" s="122" t="s">
        <v>102</v>
      </c>
      <c r="H149" s="122" t="s">
        <v>103</v>
      </c>
      <c r="I149" s="123">
        <v>329397</v>
      </c>
      <c r="J149" s="123" t="s">
        <v>91</v>
      </c>
      <c r="K149" s="124">
        <v>1</v>
      </c>
      <c r="L149" s="122" t="s">
        <v>104</v>
      </c>
      <c r="M149" s="122" t="s">
        <v>72</v>
      </c>
      <c r="N149" s="122" t="str">
        <f t="shared" si="9"/>
        <v>9.40m³-9H-1OP</v>
      </c>
    </row>
    <row r="150" spans="6:14" s="122" customFormat="1" x14ac:dyDescent="0.2">
      <c r="F150" s="122" t="s">
        <v>105</v>
      </c>
      <c r="G150" s="122" t="s">
        <v>106</v>
      </c>
      <c r="H150" s="122" t="s">
        <v>107</v>
      </c>
      <c r="I150" s="123">
        <v>280919</v>
      </c>
      <c r="J150" s="123" t="s">
        <v>91</v>
      </c>
      <c r="K150" s="124">
        <v>0</v>
      </c>
      <c r="L150" s="122" t="s">
        <v>108</v>
      </c>
      <c r="M150" s="122" t="s">
        <v>72</v>
      </c>
      <c r="N150" s="122" t="str">
        <f t="shared" si="9"/>
        <v>10.40m³-9H-0OP</v>
      </c>
    </row>
    <row r="151" spans="6:14" s="122" customFormat="1" x14ac:dyDescent="0.2">
      <c r="F151" s="122" t="s">
        <v>109</v>
      </c>
      <c r="G151" s="122" t="s">
        <v>110</v>
      </c>
      <c r="H151" s="122" t="s">
        <v>111</v>
      </c>
      <c r="I151" s="123">
        <v>420585</v>
      </c>
      <c r="J151" s="123" t="s">
        <v>112</v>
      </c>
      <c r="K151" s="124">
        <v>4</v>
      </c>
      <c r="L151" s="122" t="s">
        <v>113</v>
      </c>
      <c r="M151" s="122" t="s">
        <v>72</v>
      </c>
      <c r="N151" s="122" t="str">
        <f t="shared" si="9"/>
        <v>11.40m³-4H-4OP</v>
      </c>
    </row>
    <row r="152" spans="6:14" s="122" customFormat="1" x14ac:dyDescent="0.2">
      <c r="F152" s="122" t="s">
        <v>114</v>
      </c>
      <c r="G152" s="122" t="s">
        <v>115</v>
      </c>
      <c r="H152" s="122" t="s">
        <v>116</v>
      </c>
      <c r="I152" s="123">
        <v>369327</v>
      </c>
      <c r="J152" s="123" t="s">
        <v>112</v>
      </c>
      <c r="K152" s="124">
        <v>3</v>
      </c>
      <c r="L152" s="122" t="s">
        <v>117</v>
      </c>
      <c r="M152" s="122" t="s">
        <v>72</v>
      </c>
      <c r="N152" s="122" t="str">
        <f t="shared" si="9"/>
        <v>12.40m³-4H-3OP</v>
      </c>
    </row>
    <row r="153" spans="6:14" s="122" customFormat="1" x14ac:dyDescent="0.2">
      <c r="F153" s="122" t="s">
        <v>118</v>
      </c>
      <c r="G153" s="122" t="s">
        <v>119</v>
      </c>
      <c r="H153" s="122" t="s">
        <v>120</v>
      </c>
      <c r="I153" s="123">
        <v>323463</v>
      </c>
      <c r="J153" s="123" t="s">
        <v>112</v>
      </c>
      <c r="K153" s="124">
        <v>2</v>
      </c>
      <c r="L153" s="122" t="s">
        <v>121</v>
      </c>
      <c r="M153" s="122" t="s">
        <v>72</v>
      </c>
      <c r="N153" s="122" t="str">
        <f t="shared" si="9"/>
        <v>13.40m³-4H-2OP</v>
      </c>
    </row>
    <row r="154" spans="6:14" s="122" customFormat="1" x14ac:dyDescent="0.2">
      <c r="F154" s="122" t="s">
        <v>122</v>
      </c>
      <c r="G154" s="122" t="s">
        <v>123</v>
      </c>
      <c r="H154" s="122" t="s">
        <v>124</v>
      </c>
      <c r="I154" s="123">
        <v>270330</v>
      </c>
      <c r="J154" s="123" t="s">
        <v>112</v>
      </c>
      <c r="K154" s="124">
        <v>1</v>
      </c>
      <c r="L154" s="122" t="s">
        <v>125</v>
      </c>
      <c r="M154" s="122" t="s">
        <v>72</v>
      </c>
      <c r="N154" s="122" t="str">
        <f t="shared" si="9"/>
        <v>14.40m³-4H-1OP</v>
      </c>
    </row>
    <row r="155" spans="6:14" s="122" customFormat="1" x14ac:dyDescent="0.2">
      <c r="F155" s="122" t="s">
        <v>126</v>
      </c>
      <c r="G155" s="122" t="s">
        <v>127</v>
      </c>
      <c r="H155" s="122" t="s">
        <v>128</v>
      </c>
      <c r="I155" s="123">
        <v>221709</v>
      </c>
      <c r="J155" s="123" t="s">
        <v>112</v>
      </c>
      <c r="K155" s="124">
        <v>0</v>
      </c>
      <c r="L155" s="122" t="s">
        <v>129</v>
      </c>
      <c r="M155" s="122" t="s">
        <v>72</v>
      </c>
      <c r="N155" s="122" t="str">
        <f t="shared" si="9"/>
        <v>15.40m³-4H-0OP</v>
      </c>
    </row>
    <row r="156" spans="6:14" s="122" customFormat="1" x14ac:dyDescent="0.2">
      <c r="F156" s="122" t="s">
        <v>130</v>
      </c>
      <c r="G156" s="122" t="s">
        <v>131</v>
      </c>
      <c r="H156" s="122" t="s">
        <v>19</v>
      </c>
      <c r="I156" s="123">
        <v>501739</v>
      </c>
      <c r="J156" s="123" t="s">
        <v>70</v>
      </c>
      <c r="K156" s="124">
        <v>4</v>
      </c>
      <c r="L156" s="122" t="s">
        <v>132</v>
      </c>
      <c r="M156" s="122" t="s">
        <v>72</v>
      </c>
      <c r="N156" s="122" t="str">
        <f t="shared" si="9"/>
        <v>16.25m³-15H-4OP</v>
      </c>
    </row>
    <row r="157" spans="6:14" s="122" customFormat="1" x14ac:dyDescent="0.2">
      <c r="F157" s="122" t="s">
        <v>133</v>
      </c>
      <c r="G157" s="122" t="s">
        <v>134</v>
      </c>
      <c r="H157" s="122" t="s">
        <v>17</v>
      </c>
      <c r="I157" s="123">
        <v>443323</v>
      </c>
      <c r="J157" s="123" t="s">
        <v>70</v>
      </c>
      <c r="K157" s="124">
        <v>3</v>
      </c>
      <c r="L157" s="122" t="s">
        <v>135</v>
      </c>
      <c r="M157" s="122" t="s">
        <v>72</v>
      </c>
      <c r="N157" s="122" t="str">
        <f t="shared" si="9"/>
        <v>17.25m³-15H-3OP</v>
      </c>
    </row>
    <row r="158" spans="6:14" s="122" customFormat="1" x14ac:dyDescent="0.2">
      <c r="F158" s="122" t="s">
        <v>136</v>
      </c>
      <c r="G158" s="122" t="s">
        <v>137</v>
      </c>
      <c r="H158" s="122" t="s">
        <v>138</v>
      </c>
      <c r="I158" s="123">
        <v>388652</v>
      </c>
      <c r="J158" s="123" t="s">
        <v>70</v>
      </c>
      <c r="K158" s="124">
        <v>2</v>
      </c>
      <c r="L158" s="122" t="s">
        <v>139</v>
      </c>
      <c r="M158" s="122" t="s">
        <v>72</v>
      </c>
      <c r="N158" s="122" t="str">
        <f t="shared" si="9"/>
        <v>18.25m³-15H-2OP</v>
      </c>
    </row>
    <row r="159" spans="6:14" s="122" customFormat="1" x14ac:dyDescent="0.2">
      <c r="F159" s="122" t="s">
        <v>140</v>
      </c>
      <c r="G159" s="122" t="s">
        <v>141</v>
      </c>
      <c r="H159" s="122" t="s">
        <v>142</v>
      </c>
      <c r="I159" s="123">
        <v>323189</v>
      </c>
      <c r="J159" s="123" t="s">
        <v>70</v>
      </c>
      <c r="K159" s="124">
        <v>1</v>
      </c>
      <c r="L159" s="122" t="s">
        <v>143</v>
      </c>
      <c r="M159" s="122" t="s">
        <v>72</v>
      </c>
      <c r="N159" s="122" t="str">
        <f t="shared" si="9"/>
        <v>19.25m³-15H-1OP</v>
      </c>
    </row>
    <row r="160" spans="6:14" s="122" customFormat="1" x14ac:dyDescent="0.2">
      <c r="F160" s="122" t="s">
        <v>144</v>
      </c>
      <c r="G160" s="122" t="s">
        <v>145</v>
      </c>
      <c r="H160" s="122" t="s">
        <v>146</v>
      </c>
      <c r="I160" s="123">
        <v>256051</v>
      </c>
      <c r="J160" s="123" t="s">
        <v>70</v>
      </c>
      <c r="K160" s="124">
        <v>0</v>
      </c>
      <c r="L160" s="122" t="s">
        <v>147</v>
      </c>
      <c r="M160" s="122" t="s">
        <v>72</v>
      </c>
      <c r="N160" s="122" t="str">
        <f t="shared" si="9"/>
        <v>20.25m³-15H-0OP</v>
      </c>
    </row>
    <row r="161" spans="6:14" s="122" customFormat="1" x14ac:dyDescent="0.2">
      <c r="F161" s="122" t="s">
        <v>148</v>
      </c>
      <c r="G161" s="122" t="s">
        <v>149</v>
      </c>
      <c r="H161" s="122" t="s">
        <v>150</v>
      </c>
      <c r="I161" s="123">
        <v>433978</v>
      </c>
      <c r="J161" s="123" t="s">
        <v>91</v>
      </c>
      <c r="K161" s="124">
        <v>4</v>
      </c>
      <c r="L161" s="122" t="s">
        <v>151</v>
      </c>
      <c r="M161" s="122" t="s">
        <v>72</v>
      </c>
      <c r="N161" s="122" t="str">
        <f t="shared" si="9"/>
        <v>21.25m³-9H-4OP</v>
      </c>
    </row>
    <row r="162" spans="6:14" s="122" customFormat="1" x14ac:dyDescent="0.2">
      <c r="F162" s="122" t="s">
        <v>152</v>
      </c>
      <c r="G162" s="122" t="s">
        <v>153</v>
      </c>
      <c r="H162" s="122" t="s">
        <v>154</v>
      </c>
      <c r="I162" s="123">
        <v>386383</v>
      </c>
      <c r="J162" s="123" t="s">
        <v>91</v>
      </c>
      <c r="K162" s="124">
        <v>3</v>
      </c>
      <c r="L162" s="122" t="s">
        <v>155</v>
      </c>
      <c r="M162" s="122" t="s">
        <v>72</v>
      </c>
      <c r="N162" s="122" t="str">
        <f t="shared" si="9"/>
        <v>22.25m³-9H-3OP</v>
      </c>
    </row>
    <row r="163" spans="6:14" s="122" customFormat="1" x14ac:dyDescent="0.2">
      <c r="F163" s="122" t="s">
        <v>156</v>
      </c>
      <c r="G163" s="122" t="s">
        <v>157</v>
      </c>
      <c r="H163" s="122" t="s">
        <v>158</v>
      </c>
      <c r="I163" s="123">
        <v>345928</v>
      </c>
      <c r="J163" s="123" t="s">
        <v>91</v>
      </c>
      <c r="K163" s="124">
        <v>2</v>
      </c>
      <c r="L163" s="122" t="s">
        <v>159</v>
      </c>
      <c r="M163" s="122" t="s">
        <v>72</v>
      </c>
      <c r="N163" s="122" t="str">
        <f t="shared" si="9"/>
        <v>23.25m³-9H-2OP</v>
      </c>
    </row>
    <row r="164" spans="6:14" s="122" customFormat="1" x14ac:dyDescent="0.2">
      <c r="F164" s="122" t="s">
        <v>160</v>
      </c>
      <c r="G164" s="122" t="s">
        <v>161</v>
      </c>
      <c r="H164" s="122" t="s">
        <v>162</v>
      </c>
      <c r="I164" s="123">
        <v>290841</v>
      </c>
      <c r="J164" s="123" t="s">
        <v>91</v>
      </c>
      <c r="K164" s="124">
        <v>1</v>
      </c>
      <c r="L164" s="122" t="s">
        <v>163</v>
      </c>
      <c r="M164" s="122" t="s">
        <v>72</v>
      </c>
      <c r="N164" s="122" t="str">
        <f t="shared" si="9"/>
        <v>24.25m³-9H-1OP</v>
      </c>
    </row>
    <row r="165" spans="6:14" s="122" customFormat="1" x14ac:dyDescent="0.2">
      <c r="F165" s="122" t="s">
        <v>164</v>
      </c>
      <c r="G165" s="122" t="s">
        <v>165</v>
      </c>
      <c r="H165" s="122" t="s">
        <v>166</v>
      </c>
      <c r="I165" s="123">
        <v>225849</v>
      </c>
      <c r="J165" s="123" t="s">
        <v>91</v>
      </c>
      <c r="K165" s="124">
        <v>0</v>
      </c>
      <c r="L165" s="122" t="s">
        <v>167</v>
      </c>
      <c r="M165" s="122" t="s">
        <v>72</v>
      </c>
      <c r="N165" s="122" t="str">
        <f t="shared" si="9"/>
        <v>25.25m³-9H-0OP</v>
      </c>
    </row>
    <row r="166" spans="6:14" s="122" customFormat="1" x14ac:dyDescent="0.2">
      <c r="F166" s="122" t="s">
        <v>168</v>
      </c>
      <c r="G166" s="122" t="s">
        <v>169</v>
      </c>
      <c r="H166" s="122" t="s">
        <v>170</v>
      </c>
      <c r="I166" s="123">
        <v>374201</v>
      </c>
      <c r="J166" s="123" t="s">
        <v>112</v>
      </c>
      <c r="K166" s="124">
        <v>4</v>
      </c>
      <c r="L166" s="122" t="s">
        <v>171</v>
      </c>
      <c r="M166" s="122" t="s">
        <v>72</v>
      </c>
      <c r="N166" s="122" t="str">
        <f t="shared" si="9"/>
        <v>26.25m³-4H-4OP</v>
      </c>
    </row>
    <row r="167" spans="6:14" s="122" customFormat="1" x14ac:dyDescent="0.2">
      <c r="F167" s="122" t="s">
        <v>172</v>
      </c>
      <c r="G167" s="122" t="s">
        <v>173</v>
      </c>
      <c r="H167" s="122" t="s">
        <v>174</v>
      </c>
      <c r="I167" s="123">
        <v>323876</v>
      </c>
      <c r="J167" s="123" t="s">
        <v>112</v>
      </c>
      <c r="K167" s="124">
        <v>3</v>
      </c>
      <c r="L167" s="122" t="s">
        <v>175</v>
      </c>
      <c r="M167" s="122" t="s">
        <v>72</v>
      </c>
      <c r="N167" s="122" t="str">
        <f t="shared" si="9"/>
        <v>27.25m³-4H-3OP</v>
      </c>
    </row>
    <row r="168" spans="6:14" s="122" customFormat="1" x14ac:dyDescent="0.2">
      <c r="F168" s="122" t="s">
        <v>176</v>
      </c>
      <c r="G168" s="122" t="s">
        <v>177</v>
      </c>
      <c r="H168" s="122" t="s">
        <v>178</v>
      </c>
      <c r="I168" s="123">
        <v>283531</v>
      </c>
      <c r="J168" s="123" t="s">
        <v>112</v>
      </c>
      <c r="K168" s="124">
        <v>2</v>
      </c>
      <c r="L168" s="122" t="s">
        <v>179</v>
      </c>
      <c r="M168" s="122" t="s">
        <v>72</v>
      </c>
      <c r="N168" s="122" t="str">
        <f t="shared" si="9"/>
        <v>28.25m³-4H-2OP</v>
      </c>
    </row>
    <row r="169" spans="6:14" s="122" customFormat="1" x14ac:dyDescent="0.2">
      <c r="F169" s="122" t="s">
        <v>180</v>
      </c>
      <c r="G169" s="122" t="s">
        <v>181</v>
      </c>
      <c r="H169" s="122" t="s">
        <v>182</v>
      </c>
      <c r="I169" s="123">
        <v>236854</v>
      </c>
      <c r="J169" s="123" t="s">
        <v>112</v>
      </c>
      <c r="K169" s="124">
        <v>1</v>
      </c>
      <c r="L169" s="122" t="s">
        <v>183</v>
      </c>
      <c r="M169" s="122" t="s">
        <v>72</v>
      </c>
      <c r="N169" s="122" t="str">
        <f t="shared" si="9"/>
        <v>29.25m³-4H-1OP</v>
      </c>
    </row>
    <row r="170" spans="6:14" s="122" customFormat="1" x14ac:dyDescent="0.2">
      <c r="F170" s="122" t="s">
        <v>184</v>
      </c>
      <c r="G170" s="122" t="s">
        <v>185</v>
      </c>
      <c r="H170" s="122" t="s">
        <v>186</v>
      </c>
      <c r="I170" s="123">
        <v>179940</v>
      </c>
      <c r="J170" s="123" t="s">
        <v>112</v>
      </c>
      <c r="K170" s="124">
        <v>0</v>
      </c>
      <c r="L170" s="122" t="s">
        <v>187</v>
      </c>
      <c r="M170" s="122" t="s">
        <v>72</v>
      </c>
      <c r="N170" s="122" t="str">
        <f t="shared" si="9"/>
        <v>30.25m³-4H-0OP</v>
      </c>
    </row>
    <row r="171" spans="6:14" s="122" customFormat="1" x14ac:dyDescent="0.2">
      <c r="F171" s="122" t="s">
        <v>188</v>
      </c>
      <c r="G171" s="122" t="s">
        <v>189</v>
      </c>
      <c r="H171" s="122" t="s">
        <v>23</v>
      </c>
      <c r="I171" s="123">
        <v>239262</v>
      </c>
      <c r="J171" s="123" t="s">
        <v>70</v>
      </c>
      <c r="K171" s="124">
        <v>0</v>
      </c>
      <c r="L171" s="122" t="s">
        <v>190</v>
      </c>
      <c r="M171" s="122" t="s">
        <v>72</v>
      </c>
      <c r="N171" s="122" t="str">
        <f t="shared" si="9"/>
        <v>31.FURGON-15H</v>
      </c>
    </row>
    <row r="172" spans="6:14" s="122" customFormat="1" x14ac:dyDescent="0.2">
      <c r="F172" s="122" t="s">
        <v>191</v>
      </c>
      <c r="G172" s="122" t="s">
        <v>192</v>
      </c>
      <c r="H172" s="122" t="s">
        <v>193</v>
      </c>
      <c r="I172" s="123">
        <v>214754</v>
      </c>
      <c r="J172" s="123" t="s">
        <v>91</v>
      </c>
      <c r="K172" s="124">
        <v>0</v>
      </c>
      <c r="L172" s="122" t="s">
        <v>194</v>
      </c>
      <c r="M172" s="122" t="s">
        <v>72</v>
      </c>
      <c r="N172" s="122" t="str">
        <f t="shared" si="9"/>
        <v>32.FURGON-9H</v>
      </c>
    </row>
    <row r="173" spans="6:14" s="122" customFormat="1" x14ac:dyDescent="0.2">
      <c r="F173" s="122" t="s">
        <v>195</v>
      </c>
      <c r="G173" s="122" t="s">
        <v>196</v>
      </c>
      <c r="H173" s="122" t="s">
        <v>197</v>
      </c>
      <c r="I173" s="123">
        <v>173120</v>
      </c>
      <c r="J173" s="123" t="s">
        <v>112</v>
      </c>
      <c r="K173" s="124">
        <v>0</v>
      </c>
      <c r="L173" s="122" t="s">
        <v>198</v>
      </c>
      <c r="M173" s="122" t="s">
        <v>72</v>
      </c>
      <c r="N173" s="122" t="str">
        <f t="shared" si="9"/>
        <v>33.FURGON-4H</v>
      </c>
    </row>
    <row r="174" spans="6:14" s="122" customFormat="1" x14ac:dyDescent="0.2">
      <c r="F174" s="122" t="s">
        <v>199</v>
      </c>
      <c r="G174" s="122" t="s">
        <v>200</v>
      </c>
      <c r="H174" s="122" t="s">
        <v>41</v>
      </c>
      <c r="I174" s="123">
        <v>373234</v>
      </c>
      <c r="J174" s="123" t="s">
        <v>70</v>
      </c>
      <c r="K174" s="124">
        <v>0</v>
      </c>
      <c r="L174" s="122" t="s">
        <v>201</v>
      </c>
      <c r="M174" s="122" t="s">
        <v>72</v>
      </c>
      <c r="N174" s="122" t="str">
        <f t="shared" si="9"/>
        <v>34.4X4-15H</v>
      </c>
    </row>
    <row r="175" spans="6:14" s="122" customFormat="1" x14ac:dyDescent="0.2">
      <c r="F175" s="122" t="s">
        <v>202</v>
      </c>
      <c r="G175" s="122" t="s">
        <v>203</v>
      </c>
      <c r="H175" s="122" t="s">
        <v>204</v>
      </c>
      <c r="I175" s="123">
        <v>242399</v>
      </c>
      <c r="J175" s="123" t="s">
        <v>91</v>
      </c>
      <c r="K175" s="124">
        <v>0</v>
      </c>
      <c r="L175" s="122" t="s">
        <v>205</v>
      </c>
      <c r="M175" s="122" t="s">
        <v>72</v>
      </c>
      <c r="N175" s="122" t="str">
        <f t="shared" si="9"/>
        <v>35.4X4-9H</v>
      </c>
    </row>
    <row r="176" spans="6:14" s="122" customFormat="1" x14ac:dyDescent="0.2">
      <c r="F176" s="122" t="s">
        <v>206</v>
      </c>
      <c r="G176" s="122" t="s">
        <v>207</v>
      </c>
      <c r="H176" s="122" t="s">
        <v>208</v>
      </c>
      <c r="I176" s="123">
        <v>195220</v>
      </c>
      <c r="J176" s="123" t="s">
        <v>112</v>
      </c>
      <c r="K176" s="124">
        <v>0</v>
      </c>
      <c r="L176" s="122" t="s">
        <v>209</v>
      </c>
      <c r="M176" s="122" t="s">
        <v>72</v>
      </c>
      <c r="N176" s="122" t="str">
        <f t="shared" si="9"/>
        <v>36.4X4-4H</v>
      </c>
    </row>
    <row r="177" spans="6:14" s="122" customFormat="1" x14ac:dyDescent="0.2">
      <c r="F177" s="122" t="s">
        <v>210</v>
      </c>
      <c r="G177" s="122" t="s">
        <v>211</v>
      </c>
      <c r="H177" s="122" t="s">
        <v>212</v>
      </c>
      <c r="I177" s="123">
        <v>836001</v>
      </c>
      <c r="J177" s="123" t="s">
        <v>70</v>
      </c>
      <c r="K177" s="124">
        <v>0</v>
      </c>
      <c r="L177" s="122" t="s">
        <v>213</v>
      </c>
      <c r="M177" s="122" t="s">
        <v>72</v>
      </c>
      <c r="N177" s="122" t="str">
        <f t="shared" si="9"/>
        <v>37.MONTACARGA-15H</v>
      </c>
    </row>
    <row r="178" spans="6:14" s="122" customFormat="1" x14ac:dyDescent="0.2">
      <c r="F178" s="122" t="s">
        <v>214</v>
      </c>
      <c r="G178" s="122" t="s">
        <v>215</v>
      </c>
      <c r="H178" s="122" t="s">
        <v>216</v>
      </c>
      <c r="I178" s="123">
        <v>144356</v>
      </c>
      <c r="J178" s="123" t="s">
        <v>217</v>
      </c>
      <c r="K178" s="124">
        <v>0</v>
      </c>
      <c r="L178" s="122" t="s">
        <v>218</v>
      </c>
      <c r="M178" s="122" t="s">
        <v>72</v>
      </c>
      <c r="N178" s="122" t="str">
        <f t="shared" si="9"/>
        <v>38.MONTACARGA-1H</v>
      </c>
    </row>
    <row r="179" spans="6:14" s="122" customFormat="1" x14ac:dyDescent="0.2">
      <c r="F179" s="122" t="s">
        <v>219</v>
      </c>
      <c r="G179" s="122" t="s">
        <v>220</v>
      </c>
      <c r="H179" s="122" t="s">
        <v>221</v>
      </c>
      <c r="I179" s="123">
        <v>828620</v>
      </c>
      <c r="J179" s="123" t="s">
        <v>70</v>
      </c>
      <c r="K179" s="124">
        <v>0</v>
      </c>
      <c r="L179" s="122" t="s">
        <v>222</v>
      </c>
      <c r="M179" s="122" t="s">
        <v>72</v>
      </c>
      <c r="N179" s="122" t="str">
        <f t="shared" si="9"/>
        <v>39.GRUA-15H-</v>
      </c>
    </row>
    <row r="180" spans="6:14" s="122" customFormat="1" x14ac:dyDescent="0.2">
      <c r="F180" s="122" t="s">
        <v>223</v>
      </c>
      <c r="G180" s="122" t="s">
        <v>224</v>
      </c>
      <c r="H180" s="122" t="s">
        <v>225</v>
      </c>
      <c r="I180" s="123">
        <v>148058</v>
      </c>
      <c r="J180" s="123" t="s">
        <v>217</v>
      </c>
      <c r="K180" s="124">
        <v>0</v>
      </c>
      <c r="L180" s="122" t="s">
        <v>226</v>
      </c>
      <c r="M180" s="122" t="s">
        <v>72</v>
      </c>
      <c r="N180" s="122" t="str">
        <f t="shared" si="9"/>
        <v>40.GRUA-1H</v>
      </c>
    </row>
    <row r="181" spans="6:14" s="122" customFormat="1" x14ac:dyDescent="0.2">
      <c r="F181" s="122" t="s">
        <v>227</v>
      </c>
      <c r="G181" s="122" t="s">
        <v>228</v>
      </c>
      <c r="H181" s="122" t="s">
        <v>36</v>
      </c>
      <c r="I181" s="123">
        <v>53577</v>
      </c>
      <c r="J181" s="123" t="s">
        <v>217</v>
      </c>
      <c r="K181" s="124">
        <v>0</v>
      </c>
      <c r="L181" s="122" t="s">
        <v>229</v>
      </c>
      <c r="M181" s="122" t="s">
        <v>72</v>
      </c>
      <c r="N181" s="122" t="str">
        <f t="shared" si="9"/>
        <v>41.OPERARIO-8-H</v>
      </c>
    </row>
    <row r="182" spans="6:14" s="122" customFormat="1" x14ac:dyDescent="0.2">
      <c r="F182" s="122" t="s">
        <v>230</v>
      </c>
      <c r="G182" s="122" t="s">
        <v>231</v>
      </c>
      <c r="H182" s="122" t="s">
        <v>232</v>
      </c>
      <c r="I182" s="123">
        <v>41562</v>
      </c>
      <c r="J182" s="123" t="s">
        <v>217</v>
      </c>
      <c r="K182" s="124">
        <v>0</v>
      </c>
      <c r="L182" s="122" t="s">
        <v>233</v>
      </c>
      <c r="M182" s="122" t="s">
        <v>72</v>
      </c>
      <c r="N182" s="122" t="str">
        <f t="shared" si="9"/>
        <v>42.OPERARIO-6-H</v>
      </c>
    </row>
    <row r="183" spans="6:14" s="122" customFormat="1" x14ac:dyDescent="0.2">
      <c r="F183" s="122" t="s">
        <v>234</v>
      </c>
      <c r="G183" s="122" t="s">
        <v>235</v>
      </c>
      <c r="H183" s="122" t="s">
        <v>236</v>
      </c>
      <c r="I183" s="123">
        <v>628232</v>
      </c>
      <c r="N183" s="122" t="str">
        <f t="shared" si="9"/>
        <v>43.BOGOTA-REGION-40m³-</v>
      </c>
    </row>
    <row r="184" spans="6:14" s="122" customFormat="1" x14ac:dyDescent="0.2">
      <c r="F184" s="122" t="s">
        <v>237</v>
      </c>
      <c r="G184" s="122" t="s">
        <v>238</v>
      </c>
      <c r="H184" s="122" t="s">
        <v>239</v>
      </c>
      <c r="I184" s="123">
        <v>562619</v>
      </c>
      <c r="N184" s="122" t="str">
        <f t="shared" si="9"/>
        <v>44.BOGOTA-REGION-25m³-</v>
      </c>
    </row>
    <row r="185" spans="6:14" s="122" customFormat="1" x14ac:dyDescent="0.2">
      <c r="F185" s="122" t="s">
        <v>240</v>
      </c>
      <c r="G185" s="122" t="s">
        <v>241</v>
      </c>
      <c r="H185" s="122" t="s">
        <v>242</v>
      </c>
      <c r="I185" s="123">
        <v>418264</v>
      </c>
      <c r="N185" s="122" t="str">
        <f t="shared" si="9"/>
        <v>45.BOGOTA-REGION-FURGON-</v>
      </c>
    </row>
    <row r="186" spans="6:14" s="122" customFormat="1" x14ac:dyDescent="0.2">
      <c r="F186" s="122" t="s">
        <v>243</v>
      </c>
      <c r="G186" s="122" t="s">
        <v>244</v>
      </c>
      <c r="H186" s="122" t="s">
        <v>245</v>
      </c>
      <c r="I186" s="123">
        <v>288714</v>
      </c>
      <c r="N186" s="122" t="str">
        <f t="shared" si="9"/>
        <v>46.BOGOTA-REGION-4X4</v>
      </c>
    </row>
    <row r="187" spans="6:14" x14ac:dyDescent="0.2">
      <c r="H187" s="122" t="s">
        <v>246</v>
      </c>
      <c r="I187" s="123">
        <f>41562*6</f>
        <v>249372</v>
      </c>
      <c r="J187" s="123" t="s">
        <v>217</v>
      </c>
      <c r="N187" s="3" t="str">
        <f t="shared" si="9"/>
        <v/>
      </c>
    </row>
    <row r="188" spans="6:14" x14ac:dyDescent="0.2">
      <c r="H188" s="122" t="s">
        <v>247</v>
      </c>
      <c r="I188" s="123">
        <f>41562*8</f>
        <v>332496</v>
      </c>
      <c r="J188" s="123" t="s">
        <v>217</v>
      </c>
    </row>
    <row r="189" spans="6:14" x14ac:dyDescent="0.2">
      <c r="H189" s="122" t="s">
        <v>248</v>
      </c>
      <c r="I189" s="123">
        <f>41562*8</f>
        <v>332496</v>
      </c>
      <c r="J189" s="123" t="s">
        <v>217</v>
      </c>
    </row>
    <row r="190" spans="6:14" x14ac:dyDescent="0.2">
      <c r="H190" s="122" t="s">
        <v>249</v>
      </c>
      <c r="I190" s="123">
        <f>53577*10</f>
        <v>535770</v>
      </c>
      <c r="J190" s="123" t="s">
        <v>217</v>
      </c>
    </row>
    <row r="191" spans="6:14" x14ac:dyDescent="0.2">
      <c r="H191" s="122" t="s">
        <v>250</v>
      </c>
      <c r="I191" s="123">
        <f>53577*8</f>
        <v>428616</v>
      </c>
      <c r="J191" s="123" t="s">
        <v>217</v>
      </c>
    </row>
    <row r="192" spans="6:14" x14ac:dyDescent="0.2">
      <c r="H192" s="122" t="s">
        <v>251</v>
      </c>
      <c r="I192" s="123">
        <f>53577*10</f>
        <v>535770</v>
      </c>
      <c r="J192" s="123" t="s">
        <v>217</v>
      </c>
    </row>
  </sheetData>
  <sheetProtection selectLockedCells="1" selectUnlockedCells="1"/>
  <mergeCells count="23">
    <mergeCell ref="A94:A96"/>
    <mergeCell ref="R13:Y13"/>
    <mergeCell ref="A74:AE80"/>
    <mergeCell ref="A83:A85"/>
    <mergeCell ref="A89:A91"/>
    <mergeCell ref="B89:B91"/>
    <mergeCell ref="A73:AE73"/>
    <mergeCell ref="A14:G14"/>
    <mergeCell ref="I16:P16"/>
    <mergeCell ref="R18:Y18"/>
    <mergeCell ref="A24:G24"/>
    <mergeCell ref="A25:G25"/>
    <mergeCell ref="A33:G33"/>
    <mergeCell ref="A42:G42"/>
    <mergeCell ref="A43:G43"/>
    <mergeCell ref="J47:P66"/>
    <mergeCell ref="R2:Y2"/>
    <mergeCell ref="AA2:AE2"/>
    <mergeCell ref="A53:G53"/>
    <mergeCell ref="K71:L71"/>
    <mergeCell ref="A1:G1"/>
    <mergeCell ref="A2:G2"/>
    <mergeCell ref="I2:P2"/>
  </mergeCells>
  <phoneticPr fontId="71" type="noConversion"/>
  <dataValidations count="4">
    <dataValidation type="list" allowBlank="1" showInputMessage="1" showErrorMessage="1" sqref="F40" xr:uid="{FA4AC91D-227A-7A4C-AE09-F9A658FF8635}">
      <formula1>$H$140:$H$185</formula1>
    </dataValidation>
    <dataValidation type="list" allowBlank="1" showInputMessage="1" showErrorMessage="1" sqref="O9:O15 O20:O25 F47:F52 F65 F31:F32 X7:X8 F18:F19" xr:uid="{6B1890D4-737F-1544-86A3-CE0C6D6776B4}">
      <formula1>$H$140:$H$186</formula1>
    </dataValidation>
    <dataValidation type="list" allowBlank="1" showInputMessage="1" showErrorMessage="1" sqref="F20:F22 F12:F13" xr:uid="{E9349014-85AC-094F-AA26-B62E291889BD}">
      <formula1>$H$141:$H$186</formula1>
    </dataValidation>
    <dataValidation type="list" allowBlank="1" showInputMessage="1" showErrorMessage="1" sqref="F4:F11 O4:O8 X4:X6 F55:F64 O18:O19 X15:X16 X20:X26 F16:F17 F27:F30 F35:F39" xr:uid="{9C5D3609-6744-C14A-A04B-F6035133B097}">
      <formula1>$H$140:$H$192</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69909-782A-7246-A988-9E55967058A4}">
  <sheetPr>
    <tabColor theme="0"/>
  </sheetPr>
  <dimension ref="B1:DN65565"/>
  <sheetViews>
    <sheetView tabSelected="1" view="pageBreakPreview" topLeftCell="B1" zoomScale="55" zoomScaleNormal="55" zoomScaleSheetLayoutView="55" workbookViewId="0">
      <pane ySplit="4" topLeftCell="A160" activePane="bottomLeft" state="frozen"/>
      <selection activeCell="B95" sqref="B95:K95"/>
      <selection pane="bottomLeft" activeCell="G169" sqref="G169"/>
    </sheetView>
  </sheetViews>
  <sheetFormatPr baseColWidth="10" defaultColWidth="11.42578125" defaultRowHeight="26.1" customHeight="1" x14ac:dyDescent="0.2"/>
  <cols>
    <col min="1" max="1" width="2.42578125" style="3" customWidth="1"/>
    <col min="2" max="2" width="56.140625" style="3" customWidth="1"/>
    <col min="3" max="3" width="14.140625" style="3" customWidth="1"/>
    <col min="4" max="4" width="14.42578125" style="3" customWidth="1"/>
    <col min="5" max="5" width="58.140625" style="3" bestFit="1" customWidth="1"/>
    <col min="6" max="6" width="87.42578125" style="3" customWidth="1"/>
    <col min="7" max="7" width="26.7109375" style="3" customWidth="1"/>
    <col min="8" max="8" width="41.7109375" style="3" bestFit="1" customWidth="1"/>
    <col min="9" max="9" width="23" style="3" bestFit="1" customWidth="1"/>
    <col min="10" max="10" width="29.28515625" style="3" customWidth="1"/>
    <col min="11" max="11" width="39" style="3" customWidth="1"/>
    <col min="12" max="12" width="37" style="144" customWidth="1"/>
    <col min="13" max="13" width="39.140625" style="3" customWidth="1"/>
    <col min="14" max="14" width="30.42578125" style="3" customWidth="1"/>
    <col min="15" max="15" width="33.140625" style="3" customWidth="1"/>
    <col min="16" max="16" width="20.140625" style="3" customWidth="1"/>
    <col min="17" max="17" width="25.7109375" style="3" customWidth="1"/>
    <col min="18" max="18" width="11.42578125" style="3"/>
    <col min="19" max="19" width="35.28515625" style="3" customWidth="1"/>
    <col min="20" max="20" width="34.140625" style="3" bestFit="1" customWidth="1"/>
    <col min="21" max="25" width="11.42578125" style="3"/>
    <col min="26" max="26" width="14.28515625" style="3" bestFit="1" customWidth="1"/>
    <col min="27" max="257" width="11.42578125" style="3"/>
    <col min="258" max="258" width="2.42578125" style="3" customWidth="1"/>
    <col min="259" max="259" width="30.42578125" style="3" customWidth="1"/>
    <col min="260" max="260" width="22.140625" style="3" customWidth="1"/>
    <col min="261" max="261" width="31.42578125" style="3" customWidth="1"/>
    <col min="262" max="262" width="29.7109375" style="3" customWidth="1"/>
    <col min="263" max="263" width="70.42578125" style="3" customWidth="1"/>
    <col min="264" max="264" width="62.28515625" style="3" customWidth="1"/>
    <col min="265" max="265" width="25.140625" style="3" customWidth="1"/>
    <col min="266" max="266" width="31.42578125" style="3" customWidth="1"/>
    <col min="267" max="267" width="31" style="3" customWidth="1"/>
    <col min="268" max="268" width="37" style="3" customWidth="1"/>
    <col min="269" max="269" width="30.140625" style="3" customWidth="1"/>
    <col min="270" max="270" width="30.42578125" style="3" customWidth="1"/>
    <col min="271" max="271" width="20.85546875" style="3" customWidth="1"/>
    <col min="272" max="274" width="11.42578125" style="3"/>
    <col min="275" max="275" width="14.42578125" style="3" customWidth="1"/>
    <col min="276" max="513" width="11.42578125" style="3"/>
    <col min="514" max="514" width="2.42578125" style="3" customWidth="1"/>
    <col min="515" max="515" width="30.42578125" style="3" customWidth="1"/>
    <col min="516" max="516" width="22.140625" style="3" customWidth="1"/>
    <col min="517" max="517" width="31.42578125" style="3" customWidth="1"/>
    <col min="518" max="518" width="29.7109375" style="3" customWidth="1"/>
    <col min="519" max="519" width="70.42578125" style="3" customWidth="1"/>
    <col min="520" max="520" width="62.28515625" style="3" customWidth="1"/>
    <col min="521" max="521" width="25.140625" style="3" customWidth="1"/>
    <col min="522" max="522" width="31.42578125" style="3" customWidth="1"/>
    <col min="523" max="523" width="31" style="3" customWidth="1"/>
    <col min="524" max="524" width="37" style="3" customWidth="1"/>
    <col min="525" max="525" width="30.140625" style="3" customWidth="1"/>
    <col min="526" max="526" width="30.42578125" style="3" customWidth="1"/>
    <col min="527" max="527" width="20.85546875" style="3" customWidth="1"/>
    <col min="528" max="530" width="11.42578125" style="3"/>
    <col min="531" max="531" width="14.42578125" style="3" customWidth="1"/>
    <col min="532" max="769" width="11.42578125" style="3"/>
    <col min="770" max="770" width="2.42578125" style="3" customWidth="1"/>
    <col min="771" max="771" width="30.42578125" style="3" customWidth="1"/>
    <col min="772" max="772" width="22.140625" style="3" customWidth="1"/>
    <col min="773" max="773" width="31.42578125" style="3" customWidth="1"/>
    <col min="774" max="774" width="29.7109375" style="3" customWidth="1"/>
    <col min="775" max="775" width="70.42578125" style="3" customWidth="1"/>
    <col min="776" max="776" width="62.28515625" style="3" customWidth="1"/>
    <col min="777" max="777" width="25.140625" style="3" customWidth="1"/>
    <col min="778" max="778" width="31.42578125" style="3" customWidth="1"/>
    <col min="779" max="779" width="31" style="3" customWidth="1"/>
    <col min="780" max="780" width="37" style="3" customWidth="1"/>
    <col min="781" max="781" width="30.140625" style="3" customWidth="1"/>
    <col min="782" max="782" width="30.42578125" style="3" customWidth="1"/>
    <col min="783" max="783" width="20.85546875" style="3" customWidth="1"/>
    <col min="784" max="786" width="11.42578125" style="3"/>
    <col min="787" max="787" width="14.42578125" style="3" customWidth="1"/>
    <col min="788" max="1025" width="11.42578125" style="3"/>
    <col min="1026" max="1026" width="2.42578125" style="3" customWidth="1"/>
    <col min="1027" max="1027" width="30.42578125" style="3" customWidth="1"/>
    <col min="1028" max="1028" width="22.140625" style="3" customWidth="1"/>
    <col min="1029" max="1029" width="31.42578125" style="3" customWidth="1"/>
    <col min="1030" max="1030" width="29.7109375" style="3" customWidth="1"/>
    <col min="1031" max="1031" width="70.42578125" style="3" customWidth="1"/>
    <col min="1032" max="1032" width="62.28515625" style="3" customWidth="1"/>
    <col min="1033" max="1033" width="25.140625" style="3" customWidth="1"/>
    <col min="1034" max="1034" width="31.42578125" style="3" customWidth="1"/>
    <col min="1035" max="1035" width="31" style="3" customWidth="1"/>
    <col min="1036" max="1036" width="37" style="3" customWidth="1"/>
    <col min="1037" max="1037" width="30.140625" style="3" customWidth="1"/>
    <col min="1038" max="1038" width="30.42578125" style="3" customWidth="1"/>
    <col min="1039" max="1039" width="20.85546875" style="3" customWidth="1"/>
    <col min="1040" max="1042" width="11.42578125" style="3"/>
    <col min="1043" max="1043" width="14.42578125" style="3" customWidth="1"/>
    <col min="1044" max="1281" width="11.42578125" style="3"/>
    <col min="1282" max="1282" width="2.42578125" style="3" customWidth="1"/>
    <col min="1283" max="1283" width="30.42578125" style="3" customWidth="1"/>
    <col min="1284" max="1284" width="22.140625" style="3" customWidth="1"/>
    <col min="1285" max="1285" width="31.42578125" style="3" customWidth="1"/>
    <col min="1286" max="1286" width="29.7109375" style="3" customWidth="1"/>
    <col min="1287" max="1287" width="70.42578125" style="3" customWidth="1"/>
    <col min="1288" max="1288" width="62.28515625" style="3" customWidth="1"/>
    <col min="1289" max="1289" width="25.140625" style="3" customWidth="1"/>
    <col min="1290" max="1290" width="31.42578125" style="3" customWidth="1"/>
    <col min="1291" max="1291" width="31" style="3" customWidth="1"/>
    <col min="1292" max="1292" width="37" style="3" customWidth="1"/>
    <col min="1293" max="1293" width="30.140625" style="3" customWidth="1"/>
    <col min="1294" max="1294" width="30.42578125" style="3" customWidth="1"/>
    <col min="1295" max="1295" width="20.85546875" style="3" customWidth="1"/>
    <col min="1296" max="1298" width="11.42578125" style="3"/>
    <col min="1299" max="1299" width="14.42578125" style="3" customWidth="1"/>
    <col min="1300" max="1537" width="11.42578125" style="3"/>
    <col min="1538" max="1538" width="2.42578125" style="3" customWidth="1"/>
    <col min="1539" max="1539" width="30.42578125" style="3" customWidth="1"/>
    <col min="1540" max="1540" width="22.140625" style="3" customWidth="1"/>
    <col min="1541" max="1541" width="31.42578125" style="3" customWidth="1"/>
    <col min="1542" max="1542" width="29.7109375" style="3" customWidth="1"/>
    <col min="1543" max="1543" width="70.42578125" style="3" customWidth="1"/>
    <col min="1544" max="1544" width="62.28515625" style="3" customWidth="1"/>
    <col min="1545" max="1545" width="25.140625" style="3" customWidth="1"/>
    <col min="1546" max="1546" width="31.42578125" style="3" customWidth="1"/>
    <col min="1547" max="1547" width="31" style="3" customWidth="1"/>
    <col min="1548" max="1548" width="37" style="3" customWidth="1"/>
    <col min="1549" max="1549" width="30.140625" style="3" customWidth="1"/>
    <col min="1550" max="1550" width="30.42578125" style="3" customWidth="1"/>
    <col min="1551" max="1551" width="20.85546875" style="3" customWidth="1"/>
    <col min="1552" max="1554" width="11.42578125" style="3"/>
    <col min="1555" max="1555" width="14.42578125" style="3" customWidth="1"/>
    <col min="1556" max="1793" width="11.42578125" style="3"/>
    <col min="1794" max="1794" width="2.42578125" style="3" customWidth="1"/>
    <col min="1795" max="1795" width="30.42578125" style="3" customWidth="1"/>
    <col min="1796" max="1796" width="22.140625" style="3" customWidth="1"/>
    <col min="1797" max="1797" width="31.42578125" style="3" customWidth="1"/>
    <col min="1798" max="1798" width="29.7109375" style="3" customWidth="1"/>
    <col min="1799" max="1799" width="70.42578125" style="3" customWidth="1"/>
    <col min="1800" max="1800" width="62.28515625" style="3" customWidth="1"/>
    <col min="1801" max="1801" width="25.140625" style="3" customWidth="1"/>
    <col min="1802" max="1802" width="31.42578125" style="3" customWidth="1"/>
    <col min="1803" max="1803" width="31" style="3" customWidth="1"/>
    <col min="1804" max="1804" width="37" style="3" customWidth="1"/>
    <col min="1805" max="1805" width="30.140625" style="3" customWidth="1"/>
    <col min="1806" max="1806" width="30.42578125" style="3" customWidth="1"/>
    <col min="1807" max="1807" width="20.85546875" style="3" customWidth="1"/>
    <col min="1808" max="1810" width="11.42578125" style="3"/>
    <col min="1811" max="1811" width="14.42578125" style="3" customWidth="1"/>
    <col min="1812" max="2049" width="11.42578125" style="3"/>
    <col min="2050" max="2050" width="2.42578125" style="3" customWidth="1"/>
    <col min="2051" max="2051" width="30.42578125" style="3" customWidth="1"/>
    <col min="2052" max="2052" width="22.140625" style="3" customWidth="1"/>
    <col min="2053" max="2053" width="31.42578125" style="3" customWidth="1"/>
    <col min="2054" max="2054" width="29.7109375" style="3" customWidth="1"/>
    <col min="2055" max="2055" width="70.42578125" style="3" customWidth="1"/>
    <col min="2056" max="2056" width="62.28515625" style="3" customWidth="1"/>
    <col min="2057" max="2057" width="25.140625" style="3" customWidth="1"/>
    <col min="2058" max="2058" width="31.42578125" style="3" customWidth="1"/>
    <col min="2059" max="2059" width="31" style="3" customWidth="1"/>
    <col min="2060" max="2060" width="37" style="3" customWidth="1"/>
    <col min="2061" max="2061" width="30.140625" style="3" customWidth="1"/>
    <col min="2062" max="2062" width="30.42578125" style="3" customWidth="1"/>
    <col min="2063" max="2063" width="20.85546875" style="3" customWidth="1"/>
    <col min="2064" max="2066" width="11.42578125" style="3"/>
    <col min="2067" max="2067" width="14.42578125" style="3" customWidth="1"/>
    <col min="2068" max="2305" width="11.42578125" style="3"/>
    <col min="2306" max="2306" width="2.42578125" style="3" customWidth="1"/>
    <col min="2307" max="2307" width="30.42578125" style="3" customWidth="1"/>
    <col min="2308" max="2308" width="22.140625" style="3" customWidth="1"/>
    <col min="2309" max="2309" width="31.42578125" style="3" customWidth="1"/>
    <col min="2310" max="2310" width="29.7109375" style="3" customWidth="1"/>
    <col min="2311" max="2311" width="70.42578125" style="3" customWidth="1"/>
    <col min="2312" max="2312" width="62.28515625" style="3" customWidth="1"/>
    <col min="2313" max="2313" width="25.140625" style="3" customWidth="1"/>
    <col min="2314" max="2314" width="31.42578125" style="3" customWidth="1"/>
    <col min="2315" max="2315" width="31" style="3" customWidth="1"/>
    <col min="2316" max="2316" width="37" style="3" customWidth="1"/>
    <col min="2317" max="2317" width="30.140625" style="3" customWidth="1"/>
    <col min="2318" max="2318" width="30.42578125" style="3" customWidth="1"/>
    <col min="2319" max="2319" width="20.85546875" style="3" customWidth="1"/>
    <col min="2320" max="2322" width="11.42578125" style="3"/>
    <col min="2323" max="2323" width="14.42578125" style="3" customWidth="1"/>
    <col min="2324" max="2561" width="11.42578125" style="3"/>
    <col min="2562" max="2562" width="2.42578125" style="3" customWidth="1"/>
    <col min="2563" max="2563" width="30.42578125" style="3" customWidth="1"/>
    <col min="2564" max="2564" width="22.140625" style="3" customWidth="1"/>
    <col min="2565" max="2565" width="31.42578125" style="3" customWidth="1"/>
    <col min="2566" max="2566" width="29.7109375" style="3" customWidth="1"/>
    <col min="2567" max="2567" width="70.42578125" style="3" customWidth="1"/>
    <col min="2568" max="2568" width="62.28515625" style="3" customWidth="1"/>
    <col min="2569" max="2569" width="25.140625" style="3" customWidth="1"/>
    <col min="2570" max="2570" width="31.42578125" style="3" customWidth="1"/>
    <col min="2571" max="2571" width="31" style="3" customWidth="1"/>
    <col min="2572" max="2572" width="37" style="3" customWidth="1"/>
    <col min="2573" max="2573" width="30.140625" style="3" customWidth="1"/>
    <col min="2574" max="2574" width="30.42578125" style="3" customWidth="1"/>
    <col min="2575" max="2575" width="20.85546875" style="3" customWidth="1"/>
    <col min="2576" max="2578" width="11.42578125" style="3"/>
    <col min="2579" max="2579" width="14.42578125" style="3" customWidth="1"/>
    <col min="2580" max="2817" width="11.42578125" style="3"/>
    <col min="2818" max="2818" width="2.42578125" style="3" customWidth="1"/>
    <col min="2819" max="2819" width="30.42578125" style="3" customWidth="1"/>
    <col min="2820" max="2820" width="22.140625" style="3" customWidth="1"/>
    <col min="2821" max="2821" width="31.42578125" style="3" customWidth="1"/>
    <col min="2822" max="2822" width="29.7109375" style="3" customWidth="1"/>
    <col min="2823" max="2823" width="70.42578125" style="3" customWidth="1"/>
    <col min="2824" max="2824" width="62.28515625" style="3" customWidth="1"/>
    <col min="2825" max="2825" width="25.140625" style="3" customWidth="1"/>
    <col min="2826" max="2826" width="31.42578125" style="3" customWidth="1"/>
    <col min="2827" max="2827" width="31" style="3" customWidth="1"/>
    <col min="2828" max="2828" width="37" style="3" customWidth="1"/>
    <col min="2829" max="2829" width="30.140625" style="3" customWidth="1"/>
    <col min="2830" max="2830" width="30.42578125" style="3" customWidth="1"/>
    <col min="2831" max="2831" width="20.85546875" style="3" customWidth="1"/>
    <col min="2832" max="2834" width="11.42578125" style="3"/>
    <col min="2835" max="2835" width="14.42578125" style="3" customWidth="1"/>
    <col min="2836" max="3073" width="11.42578125" style="3"/>
    <col min="3074" max="3074" width="2.42578125" style="3" customWidth="1"/>
    <col min="3075" max="3075" width="30.42578125" style="3" customWidth="1"/>
    <col min="3076" max="3076" width="22.140625" style="3" customWidth="1"/>
    <col min="3077" max="3077" width="31.42578125" style="3" customWidth="1"/>
    <col min="3078" max="3078" width="29.7109375" style="3" customWidth="1"/>
    <col min="3079" max="3079" width="70.42578125" style="3" customWidth="1"/>
    <col min="3080" max="3080" width="62.28515625" style="3" customWidth="1"/>
    <col min="3081" max="3081" width="25.140625" style="3" customWidth="1"/>
    <col min="3082" max="3082" width="31.42578125" style="3" customWidth="1"/>
    <col min="3083" max="3083" width="31" style="3" customWidth="1"/>
    <col min="3084" max="3084" width="37" style="3" customWidth="1"/>
    <col min="3085" max="3085" width="30.140625" style="3" customWidth="1"/>
    <col min="3086" max="3086" width="30.42578125" style="3" customWidth="1"/>
    <col min="3087" max="3087" width="20.85546875" style="3" customWidth="1"/>
    <col min="3088" max="3090" width="11.42578125" style="3"/>
    <col min="3091" max="3091" width="14.42578125" style="3" customWidth="1"/>
    <col min="3092" max="3329" width="11.42578125" style="3"/>
    <col min="3330" max="3330" width="2.42578125" style="3" customWidth="1"/>
    <col min="3331" max="3331" width="30.42578125" style="3" customWidth="1"/>
    <col min="3332" max="3332" width="22.140625" style="3" customWidth="1"/>
    <col min="3333" max="3333" width="31.42578125" style="3" customWidth="1"/>
    <col min="3334" max="3334" width="29.7109375" style="3" customWidth="1"/>
    <col min="3335" max="3335" width="70.42578125" style="3" customWidth="1"/>
    <col min="3336" max="3336" width="62.28515625" style="3" customWidth="1"/>
    <col min="3337" max="3337" width="25.140625" style="3" customWidth="1"/>
    <col min="3338" max="3338" width="31.42578125" style="3" customWidth="1"/>
    <col min="3339" max="3339" width="31" style="3" customWidth="1"/>
    <col min="3340" max="3340" width="37" style="3" customWidth="1"/>
    <col min="3341" max="3341" width="30.140625" style="3" customWidth="1"/>
    <col min="3342" max="3342" width="30.42578125" style="3" customWidth="1"/>
    <col min="3343" max="3343" width="20.85546875" style="3" customWidth="1"/>
    <col min="3344" max="3346" width="11.42578125" style="3"/>
    <col min="3347" max="3347" width="14.42578125" style="3" customWidth="1"/>
    <col min="3348" max="3585" width="11.42578125" style="3"/>
    <col min="3586" max="3586" width="2.42578125" style="3" customWidth="1"/>
    <col min="3587" max="3587" width="30.42578125" style="3" customWidth="1"/>
    <col min="3588" max="3588" width="22.140625" style="3" customWidth="1"/>
    <col min="3589" max="3589" width="31.42578125" style="3" customWidth="1"/>
    <col min="3590" max="3590" width="29.7109375" style="3" customWidth="1"/>
    <col min="3591" max="3591" width="70.42578125" style="3" customWidth="1"/>
    <col min="3592" max="3592" width="62.28515625" style="3" customWidth="1"/>
    <col min="3593" max="3593" width="25.140625" style="3" customWidth="1"/>
    <col min="3594" max="3594" width="31.42578125" style="3" customWidth="1"/>
    <col min="3595" max="3595" width="31" style="3" customWidth="1"/>
    <col min="3596" max="3596" width="37" style="3" customWidth="1"/>
    <col min="3597" max="3597" width="30.140625" style="3" customWidth="1"/>
    <col min="3598" max="3598" width="30.42578125" style="3" customWidth="1"/>
    <col min="3599" max="3599" width="20.85546875" style="3" customWidth="1"/>
    <col min="3600" max="3602" width="11.42578125" style="3"/>
    <col min="3603" max="3603" width="14.42578125" style="3" customWidth="1"/>
    <col min="3604" max="3841" width="11.42578125" style="3"/>
    <col min="3842" max="3842" width="2.42578125" style="3" customWidth="1"/>
    <col min="3843" max="3843" width="30.42578125" style="3" customWidth="1"/>
    <col min="3844" max="3844" width="22.140625" style="3" customWidth="1"/>
    <col min="3845" max="3845" width="31.42578125" style="3" customWidth="1"/>
    <col min="3846" max="3846" width="29.7109375" style="3" customWidth="1"/>
    <col min="3847" max="3847" width="70.42578125" style="3" customWidth="1"/>
    <col min="3848" max="3848" width="62.28515625" style="3" customWidth="1"/>
    <col min="3849" max="3849" width="25.140625" style="3" customWidth="1"/>
    <col min="3850" max="3850" width="31.42578125" style="3" customWidth="1"/>
    <col min="3851" max="3851" width="31" style="3" customWidth="1"/>
    <col min="3852" max="3852" width="37" style="3" customWidth="1"/>
    <col min="3853" max="3853" width="30.140625" style="3" customWidth="1"/>
    <col min="3854" max="3854" width="30.42578125" style="3" customWidth="1"/>
    <col min="3855" max="3855" width="20.85546875" style="3" customWidth="1"/>
    <col min="3856" max="3858" width="11.42578125" style="3"/>
    <col min="3859" max="3859" width="14.42578125" style="3" customWidth="1"/>
    <col min="3860" max="4097" width="11.42578125" style="3"/>
    <col min="4098" max="4098" width="2.42578125" style="3" customWidth="1"/>
    <col min="4099" max="4099" width="30.42578125" style="3" customWidth="1"/>
    <col min="4100" max="4100" width="22.140625" style="3" customWidth="1"/>
    <col min="4101" max="4101" width="31.42578125" style="3" customWidth="1"/>
    <col min="4102" max="4102" width="29.7109375" style="3" customWidth="1"/>
    <col min="4103" max="4103" width="70.42578125" style="3" customWidth="1"/>
    <col min="4104" max="4104" width="62.28515625" style="3" customWidth="1"/>
    <col min="4105" max="4105" width="25.140625" style="3" customWidth="1"/>
    <col min="4106" max="4106" width="31.42578125" style="3" customWidth="1"/>
    <col min="4107" max="4107" width="31" style="3" customWidth="1"/>
    <col min="4108" max="4108" width="37" style="3" customWidth="1"/>
    <col min="4109" max="4109" width="30.140625" style="3" customWidth="1"/>
    <col min="4110" max="4110" width="30.42578125" style="3" customWidth="1"/>
    <col min="4111" max="4111" width="20.85546875" style="3" customWidth="1"/>
    <col min="4112" max="4114" width="11.42578125" style="3"/>
    <col min="4115" max="4115" width="14.42578125" style="3" customWidth="1"/>
    <col min="4116" max="4353" width="11.42578125" style="3"/>
    <col min="4354" max="4354" width="2.42578125" style="3" customWidth="1"/>
    <col min="4355" max="4355" width="30.42578125" style="3" customWidth="1"/>
    <col min="4356" max="4356" width="22.140625" style="3" customWidth="1"/>
    <col min="4357" max="4357" width="31.42578125" style="3" customWidth="1"/>
    <col min="4358" max="4358" width="29.7109375" style="3" customWidth="1"/>
    <col min="4359" max="4359" width="70.42578125" style="3" customWidth="1"/>
    <col min="4360" max="4360" width="62.28515625" style="3" customWidth="1"/>
    <col min="4361" max="4361" width="25.140625" style="3" customWidth="1"/>
    <col min="4362" max="4362" width="31.42578125" style="3" customWidth="1"/>
    <col min="4363" max="4363" width="31" style="3" customWidth="1"/>
    <col min="4364" max="4364" width="37" style="3" customWidth="1"/>
    <col min="4365" max="4365" width="30.140625" style="3" customWidth="1"/>
    <col min="4366" max="4366" width="30.42578125" style="3" customWidth="1"/>
    <col min="4367" max="4367" width="20.85546875" style="3" customWidth="1"/>
    <col min="4368" max="4370" width="11.42578125" style="3"/>
    <col min="4371" max="4371" width="14.42578125" style="3" customWidth="1"/>
    <col min="4372" max="4609" width="11.42578125" style="3"/>
    <col min="4610" max="4610" width="2.42578125" style="3" customWidth="1"/>
    <col min="4611" max="4611" width="30.42578125" style="3" customWidth="1"/>
    <col min="4612" max="4612" width="22.140625" style="3" customWidth="1"/>
    <col min="4613" max="4613" width="31.42578125" style="3" customWidth="1"/>
    <col min="4614" max="4614" width="29.7109375" style="3" customWidth="1"/>
    <col min="4615" max="4615" width="70.42578125" style="3" customWidth="1"/>
    <col min="4616" max="4616" width="62.28515625" style="3" customWidth="1"/>
    <col min="4617" max="4617" width="25.140625" style="3" customWidth="1"/>
    <col min="4618" max="4618" width="31.42578125" style="3" customWidth="1"/>
    <col min="4619" max="4619" width="31" style="3" customWidth="1"/>
    <col min="4620" max="4620" width="37" style="3" customWidth="1"/>
    <col min="4621" max="4621" width="30.140625" style="3" customWidth="1"/>
    <col min="4622" max="4622" width="30.42578125" style="3" customWidth="1"/>
    <col min="4623" max="4623" width="20.85546875" style="3" customWidth="1"/>
    <col min="4624" max="4626" width="11.42578125" style="3"/>
    <col min="4627" max="4627" width="14.42578125" style="3" customWidth="1"/>
    <col min="4628" max="4865" width="11.42578125" style="3"/>
    <col min="4866" max="4866" width="2.42578125" style="3" customWidth="1"/>
    <col min="4867" max="4867" width="30.42578125" style="3" customWidth="1"/>
    <col min="4868" max="4868" width="22.140625" style="3" customWidth="1"/>
    <col min="4869" max="4869" width="31.42578125" style="3" customWidth="1"/>
    <col min="4870" max="4870" width="29.7109375" style="3" customWidth="1"/>
    <col min="4871" max="4871" width="70.42578125" style="3" customWidth="1"/>
    <col min="4872" max="4872" width="62.28515625" style="3" customWidth="1"/>
    <col min="4873" max="4873" width="25.140625" style="3" customWidth="1"/>
    <col min="4874" max="4874" width="31.42578125" style="3" customWidth="1"/>
    <col min="4875" max="4875" width="31" style="3" customWidth="1"/>
    <col min="4876" max="4876" width="37" style="3" customWidth="1"/>
    <col min="4877" max="4877" width="30.140625" style="3" customWidth="1"/>
    <col min="4878" max="4878" width="30.42578125" style="3" customWidth="1"/>
    <col min="4879" max="4879" width="20.85546875" style="3" customWidth="1"/>
    <col min="4880" max="4882" width="11.42578125" style="3"/>
    <col min="4883" max="4883" width="14.42578125" style="3" customWidth="1"/>
    <col min="4884" max="5121" width="11.42578125" style="3"/>
    <col min="5122" max="5122" width="2.42578125" style="3" customWidth="1"/>
    <col min="5123" max="5123" width="30.42578125" style="3" customWidth="1"/>
    <col min="5124" max="5124" width="22.140625" style="3" customWidth="1"/>
    <col min="5125" max="5125" width="31.42578125" style="3" customWidth="1"/>
    <col min="5126" max="5126" width="29.7109375" style="3" customWidth="1"/>
    <col min="5127" max="5127" width="70.42578125" style="3" customWidth="1"/>
    <col min="5128" max="5128" width="62.28515625" style="3" customWidth="1"/>
    <col min="5129" max="5129" width="25.140625" style="3" customWidth="1"/>
    <col min="5130" max="5130" width="31.42578125" style="3" customWidth="1"/>
    <col min="5131" max="5131" width="31" style="3" customWidth="1"/>
    <col min="5132" max="5132" width="37" style="3" customWidth="1"/>
    <col min="5133" max="5133" width="30.140625" style="3" customWidth="1"/>
    <col min="5134" max="5134" width="30.42578125" style="3" customWidth="1"/>
    <col min="5135" max="5135" width="20.85546875" style="3" customWidth="1"/>
    <col min="5136" max="5138" width="11.42578125" style="3"/>
    <col min="5139" max="5139" width="14.42578125" style="3" customWidth="1"/>
    <col min="5140" max="5377" width="11.42578125" style="3"/>
    <col min="5378" max="5378" width="2.42578125" style="3" customWidth="1"/>
    <col min="5379" max="5379" width="30.42578125" style="3" customWidth="1"/>
    <col min="5380" max="5380" width="22.140625" style="3" customWidth="1"/>
    <col min="5381" max="5381" width="31.42578125" style="3" customWidth="1"/>
    <col min="5382" max="5382" width="29.7109375" style="3" customWidth="1"/>
    <col min="5383" max="5383" width="70.42578125" style="3" customWidth="1"/>
    <col min="5384" max="5384" width="62.28515625" style="3" customWidth="1"/>
    <col min="5385" max="5385" width="25.140625" style="3" customWidth="1"/>
    <col min="5386" max="5386" width="31.42578125" style="3" customWidth="1"/>
    <col min="5387" max="5387" width="31" style="3" customWidth="1"/>
    <col min="5388" max="5388" width="37" style="3" customWidth="1"/>
    <col min="5389" max="5389" width="30.140625" style="3" customWidth="1"/>
    <col min="5390" max="5390" width="30.42578125" style="3" customWidth="1"/>
    <col min="5391" max="5391" width="20.85546875" style="3" customWidth="1"/>
    <col min="5392" max="5394" width="11.42578125" style="3"/>
    <col min="5395" max="5395" width="14.42578125" style="3" customWidth="1"/>
    <col min="5396" max="5633" width="11.42578125" style="3"/>
    <col min="5634" max="5634" width="2.42578125" style="3" customWidth="1"/>
    <col min="5635" max="5635" width="30.42578125" style="3" customWidth="1"/>
    <col min="5636" max="5636" width="22.140625" style="3" customWidth="1"/>
    <col min="5637" max="5637" width="31.42578125" style="3" customWidth="1"/>
    <col min="5638" max="5638" width="29.7109375" style="3" customWidth="1"/>
    <col min="5639" max="5639" width="70.42578125" style="3" customWidth="1"/>
    <col min="5640" max="5640" width="62.28515625" style="3" customWidth="1"/>
    <col min="5641" max="5641" width="25.140625" style="3" customWidth="1"/>
    <col min="5642" max="5642" width="31.42578125" style="3" customWidth="1"/>
    <col min="5643" max="5643" width="31" style="3" customWidth="1"/>
    <col min="5644" max="5644" width="37" style="3" customWidth="1"/>
    <col min="5645" max="5645" width="30.140625" style="3" customWidth="1"/>
    <col min="5646" max="5646" width="30.42578125" style="3" customWidth="1"/>
    <col min="5647" max="5647" width="20.85546875" style="3" customWidth="1"/>
    <col min="5648" max="5650" width="11.42578125" style="3"/>
    <col min="5651" max="5651" width="14.42578125" style="3" customWidth="1"/>
    <col min="5652" max="5889" width="11.42578125" style="3"/>
    <col min="5890" max="5890" width="2.42578125" style="3" customWidth="1"/>
    <col min="5891" max="5891" width="30.42578125" style="3" customWidth="1"/>
    <col min="5892" max="5892" width="22.140625" style="3" customWidth="1"/>
    <col min="5893" max="5893" width="31.42578125" style="3" customWidth="1"/>
    <col min="5894" max="5894" width="29.7109375" style="3" customWidth="1"/>
    <col min="5895" max="5895" width="70.42578125" style="3" customWidth="1"/>
    <col min="5896" max="5896" width="62.28515625" style="3" customWidth="1"/>
    <col min="5897" max="5897" width="25.140625" style="3" customWidth="1"/>
    <col min="5898" max="5898" width="31.42578125" style="3" customWidth="1"/>
    <col min="5899" max="5899" width="31" style="3" customWidth="1"/>
    <col min="5900" max="5900" width="37" style="3" customWidth="1"/>
    <col min="5901" max="5901" width="30.140625" style="3" customWidth="1"/>
    <col min="5902" max="5902" width="30.42578125" style="3" customWidth="1"/>
    <col min="5903" max="5903" width="20.85546875" style="3" customWidth="1"/>
    <col min="5904" max="5906" width="11.42578125" style="3"/>
    <col min="5907" max="5907" width="14.42578125" style="3" customWidth="1"/>
    <col min="5908" max="6145" width="11.42578125" style="3"/>
    <col min="6146" max="6146" width="2.42578125" style="3" customWidth="1"/>
    <col min="6147" max="6147" width="30.42578125" style="3" customWidth="1"/>
    <col min="6148" max="6148" width="22.140625" style="3" customWidth="1"/>
    <col min="6149" max="6149" width="31.42578125" style="3" customWidth="1"/>
    <col min="6150" max="6150" width="29.7109375" style="3" customWidth="1"/>
    <col min="6151" max="6151" width="70.42578125" style="3" customWidth="1"/>
    <col min="6152" max="6152" width="62.28515625" style="3" customWidth="1"/>
    <col min="6153" max="6153" width="25.140625" style="3" customWidth="1"/>
    <col min="6154" max="6154" width="31.42578125" style="3" customWidth="1"/>
    <col min="6155" max="6155" width="31" style="3" customWidth="1"/>
    <col min="6156" max="6156" width="37" style="3" customWidth="1"/>
    <col min="6157" max="6157" width="30.140625" style="3" customWidth="1"/>
    <col min="6158" max="6158" width="30.42578125" style="3" customWidth="1"/>
    <col min="6159" max="6159" width="20.85546875" style="3" customWidth="1"/>
    <col min="6160" max="6162" width="11.42578125" style="3"/>
    <col min="6163" max="6163" width="14.42578125" style="3" customWidth="1"/>
    <col min="6164" max="6401" width="11.42578125" style="3"/>
    <col min="6402" max="6402" width="2.42578125" style="3" customWidth="1"/>
    <col min="6403" max="6403" width="30.42578125" style="3" customWidth="1"/>
    <col min="6404" max="6404" width="22.140625" style="3" customWidth="1"/>
    <col min="6405" max="6405" width="31.42578125" style="3" customWidth="1"/>
    <col min="6406" max="6406" width="29.7109375" style="3" customWidth="1"/>
    <col min="6407" max="6407" width="70.42578125" style="3" customWidth="1"/>
    <col min="6408" max="6408" width="62.28515625" style="3" customWidth="1"/>
    <col min="6409" max="6409" width="25.140625" style="3" customWidth="1"/>
    <col min="6410" max="6410" width="31.42578125" style="3" customWidth="1"/>
    <col min="6411" max="6411" width="31" style="3" customWidth="1"/>
    <col min="6412" max="6412" width="37" style="3" customWidth="1"/>
    <col min="6413" max="6413" width="30.140625" style="3" customWidth="1"/>
    <col min="6414" max="6414" width="30.42578125" style="3" customWidth="1"/>
    <col min="6415" max="6415" width="20.85546875" style="3" customWidth="1"/>
    <col min="6416" max="6418" width="11.42578125" style="3"/>
    <col min="6419" max="6419" width="14.42578125" style="3" customWidth="1"/>
    <col min="6420" max="6657" width="11.42578125" style="3"/>
    <col min="6658" max="6658" width="2.42578125" style="3" customWidth="1"/>
    <col min="6659" max="6659" width="30.42578125" style="3" customWidth="1"/>
    <col min="6660" max="6660" width="22.140625" style="3" customWidth="1"/>
    <col min="6661" max="6661" width="31.42578125" style="3" customWidth="1"/>
    <col min="6662" max="6662" width="29.7109375" style="3" customWidth="1"/>
    <col min="6663" max="6663" width="70.42578125" style="3" customWidth="1"/>
    <col min="6664" max="6664" width="62.28515625" style="3" customWidth="1"/>
    <col min="6665" max="6665" width="25.140625" style="3" customWidth="1"/>
    <col min="6666" max="6666" width="31.42578125" style="3" customWidth="1"/>
    <col min="6667" max="6667" width="31" style="3" customWidth="1"/>
    <col min="6668" max="6668" width="37" style="3" customWidth="1"/>
    <col min="6669" max="6669" width="30.140625" style="3" customWidth="1"/>
    <col min="6670" max="6670" width="30.42578125" style="3" customWidth="1"/>
    <col min="6671" max="6671" width="20.85546875" style="3" customWidth="1"/>
    <col min="6672" max="6674" width="11.42578125" style="3"/>
    <col min="6675" max="6675" width="14.42578125" style="3" customWidth="1"/>
    <col min="6676" max="6913" width="11.42578125" style="3"/>
    <col min="6914" max="6914" width="2.42578125" style="3" customWidth="1"/>
    <col min="6915" max="6915" width="30.42578125" style="3" customWidth="1"/>
    <col min="6916" max="6916" width="22.140625" style="3" customWidth="1"/>
    <col min="6917" max="6917" width="31.42578125" style="3" customWidth="1"/>
    <col min="6918" max="6918" width="29.7109375" style="3" customWidth="1"/>
    <col min="6919" max="6919" width="70.42578125" style="3" customWidth="1"/>
    <col min="6920" max="6920" width="62.28515625" style="3" customWidth="1"/>
    <col min="6921" max="6921" width="25.140625" style="3" customWidth="1"/>
    <col min="6922" max="6922" width="31.42578125" style="3" customWidth="1"/>
    <col min="6923" max="6923" width="31" style="3" customWidth="1"/>
    <col min="6924" max="6924" width="37" style="3" customWidth="1"/>
    <col min="6925" max="6925" width="30.140625" style="3" customWidth="1"/>
    <col min="6926" max="6926" width="30.42578125" style="3" customWidth="1"/>
    <col min="6927" max="6927" width="20.85546875" style="3" customWidth="1"/>
    <col min="6928" max="6930" width="11.42578125" style="3"/>
    <col min="6931" max="6931" width="14.42578125" style="3" customWidth="1"/>
    <col min="6932" max="7169" width="11.42578125" style="3"/>
    <col min="7170" max="7170" width="2.42578125" style="3" customWidth="1"/>
    <col min="7171" max="7171" width="30.42578125" style="3" customWidth="1"/>
    <col min="7172" max="7172" width="22.140625" style="3" customWidth="1"/>
    <col min="7173" max="7173" width="31.42578125" style="3" customWidth="1"/>
    <col min="7174" max="7174" width="29.7109375" style="3" customWidth="1"/>
    <col min="7175" max="7175" width="70.42578125" style="3" customWidth="1"/>
    <col min="7176" max="7176" width="62.28515625" style="3" customWidth="1"/>
    <col min="7177" max="7177" width="25.140625" style="3" customWidth="1"/>
    <col min="7178" max="7178" width="31.42578125" style="3" customWidth="1"/>
    <col min="7179" max="7179" width="31" style="3" customWidth="1"/>
    <col min="7180" max="7180" width="37" style="3" customWidth="1"/>
    <col min="7181" max="7181" width="30.140625" style="3" customWidth="1"/>
    <col min="7182" max="7182" width="30.42578125" style="3" customWidth="1"/>
    <col min="7183" max="7183" width="20.85546875" style="3" customWidth="1"/>
    <col min="7184" max="7186" width="11.42578125" style="3"/>
    <col min="7187" max="7187" width="14.42578125" style="3" customWidth="1"/>
    <col min="7188" max="7425" width="11.42578125" style="3"/>
    <col min="7426" max="7426" width="2.42578125" style="3" customWidth="1"/>
    <col min="7427" max="7427" width="30.42578125" style="3" customWidth="1"/>
    <col min="7428" max="7428" width="22.140625" style="3" customWidth="1"/>
    <col min="7429" max="7429" width="31.42578125" style="3" customWidth="1"/>
    <col min="7430" max="7430" width="29.7109375" style="3" customWidth="1"/>
    <col min="7431" max="7431" width="70.42578125" style="3" customWidth="1"/>
    <col min="7432" max="7432" width="62.28515625" style="3" customWidth="1"/>
    <col min="7433" max="7433" width="25.140625" style="3" customWidth="1"/>
    <col min="7434" max="7434" width="31.42578125" style="3" customWidth="1"/>
    <col min="7435" max="7435" width="31" style="3" customWidth="1"/>
    <col min="7436" max="7436" width="37" style="3" customWidth="1"/>
    <col min="7437" max="7437" width="30.140625" style="3" customWidth="1"/>
    <col min="7438" max="7438" width="30.42578125" style="3" customWidth="1"/>
    <col min="7439" max="7439" width="20.85546875" style="3" customWidth="1"/>
    <col min="7440" max="7442" width="11.42578125" style="3"/>
    <col min="7443" max="7443" width="14.42578125" style="3" customWidth="1"/>
    <col min="7444" max="7681" width="11.42578125" style="3"/>
    <col min="7682" max="7682" width="2.42578125" style="3" customWidth="1"/>
    <col min="7683" max="7683" width="30.42578125" style="3" customWidth="1"/>
    <col min="7684" max="7684" width="22.140625" style="3" customWidth="1"/>
    <col min="7685" max="7685" width="31.42578125" style="3" customWidth="1"/>
    <col min="7686" max="7686" width="29.7109375" style="3" customWidth="1"/>
    <col min="7687" max="7687" width="70.42578125" style="3" customWidth="1"/>
    <col min="7688" max="7688" width="62.28515625" style="3" customWidth="1"/>
    <col min="7689" max="7689" width="25.140625" style="3" customWidth="1"/>
    <col min="7690" max="7690" width="31.42578125" style="3" customWidth="1"/>
    <col min="7691" max="7691" width="31" style="3" customWidth="1"/>
    <col min="7692" max="7692" width="37" style="3" customWidth="1"/>
    <col min="7693" max="7693" width="30.140625" style="3" customWidth="1"/>
    <col min="7694" max="7694" width="30.42578125" style="3" customWidth="1"/>
    <col min="7695" max="7695" width="20.85546875" style="3" customWidth="1"/>
    <col min="7696" max="7698" width="11.42578125" style="3"/>
    <col min="7699" max="7699" width="14.42578125" style="3" customWidth="1"/>
    <col min="7700" max="7937" width="11.42578125" style="3"/>
    <col min="7938" max="7938" width="2.42578125" style="3" customWidth="1"/>
    <col min="7939" max="7939" width="30.42578125" style="3" customWidth="1"/>
    <col min="7940" max="7940" width="22.140625" style="3" customWidth="1"/>
    <col min="7941" max="7941" width="31.42578125" style="3" customWidth="1"/>
    <col min="7942" max="7942" width="29.7109375" style="3" customWidth="1"/>
    <col min="7943" max="7943" width="70.42578125" style="3" customWidth="1"/>
    <col min="7944" max="7944" width="62.28515625" style="3" customWidth="1"/>
    <col min="7945" max="7945" width="25.140625" style="3" customWidth="1"/>
    <col min="7946" max="7946" width="31.42578125" style="3" customWidth="1"/>
    <col min="7947" max="7947" width="31" style="3" customWidth="1"/>
    <col min="7948" max="7948" width="37" style="3" customWidth="1"/>
    <col min="7949" max="7949" width="30.140625" style="3" customWidth="1"/>
    <col min="7950" max="7950" width="30.42578125" style="3" customWidth="1"/>
    <col min="7951" max="7951" width="20.85546875" style="3" customWidth="1"/>
    <col min="7952" max="7954" width="11.42578125" style="3"/>
    <col min="7955" max="7955" width="14.42578125" style="3" customWidth="1"/>
    <col min="7956" max="8193" width="11.42578125" style="3"/>
    <col min="8194" max="8194" width="2.42578125" style="3" customWidth="1"/>
    <col min="8195" max="8195" width="30.42578125" style="3" customWidth="1"/>
    <col min="8196" max="8196" width="22.140625" style="3" customWidth="1"/>
    <col min="8197" max="8197" width="31.42578125" style="3" customWidth="1"/>
    <col min="8198" max="8198" width="29.7109375" style="3" customWidth="1"/>
    <col min="8199" max="8199" width="70.42578125" style="3" customWidth="1"/>
    <col min="8200" max="8200" width="62.28515625" style="3" customWidth="1"/>
    <col min="8201" max="8201" width="25.140625" style="3" customWidth="1"/>
    <col min="8202" max="8202" width="31.42578125" style="3" customWidth="1"/>
    <col min="8203" max="8203" width="31" style="3" customWidth="1"/>
    <col min="8204" max="8204" width="37" style="3" customWidth="1"/>
    <col min="8205" max="8205" width="30.140625" style="3" customWidth="1"/>
    <col min="8206" max="8206" width="30.42578125" style="3" customWidth="1"/>
    <col min="8207" max="8207" width="20.85546875" style="3" customWidth="1"/>
    <col min="8208" max="8210" width="11.42578125" style="3"/>
    <col min="8211" max="8211" width="14.42578125" style="3" customWidth="1"/>
    <col min="8212" max="8449" width="11.42578125" style="3"/>
    <col min="8450" max="8450" width="2.42578125" style="3" customWidth="1"/>
    <col min="8451" max="8451" width="30.42578125" style="3" customWidth="1"/>
    <col min="8452" max="8452" width="22.140625" style="3" customWidth="1"/>
    <col min="8453" max="8453" width="31.42578125" style="3" customWidth="1"/>
    <col min="8454" max="8454" width="29.7109375" style="3" customWidth="1"/>
    <col min="8455" max="8455" width="70.42578125" style="3" customWidth="1"/>
    <col min="8456" max="8456" width="62.28515625" style="3" customWidth="1"/>
    <col min="8457" max="8457" width="25.140625" style="3" customWidth="1"/>
    <col min="8458" max="8458" width="31.42578125" style="3" customWidth="1"/>
    <col min="8459" max="8459" width="31" style="3" customWidth="1"/>
    <col min="8460" max="8460" width="37" style="3" customWidth="1"/>
    <col min="8461" max="8461" width="30.140625" style="3" customWidth="1"/>
    <col min="8462" max="8462" width="30.42578125" style="3" customWidth="1"/>
    <col min="8463" max="8463" width="20.85546875" style="3" customWidth="1"/>
    <col min="8464" max="8466" width="11.42578125" style="3"/>
    <col min="8467" max="8467" width="14.42578125" style="3" customWidth="1"/>
    <col min="8468" max="8705" width="11.42578125" style="3"/>
    <col min="8706" max="8706" width="2.42578125" style="3" customWidth="1"/>
    <col min="8707" max="8707" width="30.42578125" style="3" customWidth="1"/>
    <col min="8708" max="8708" width="22.140625" style="3" customWidth="1"/>
    <col min="8709" max="8709" width="31.42578125" style="3" customWidth="1"/>
    <col min="8710" max="8710" width="29.7109375" style="3" customWidth="1"/>
    <col min="8711" max="8711" width="70.42578125" style="3" customWidth="1"/>
    <col min="8712" max="8712" width="62.28515625" style="3" customWidth="1"/>
    <col min="8713" max="8713" width="25.140625" style="3" customWidth="1"/>
    <col min="8714" max="8714" width="31.42578125" style="3" customWidth="1"/>
    <col min="8715" max="8715" width="31" style="3" customWidth="1"/>
    <col min="8716" max="8716" width="37" style="3" customWidth="1"/>
    <col min="8717" max="8717" width="30.140625" style="3" customWidth="1"/>
    <col min="8718" max="8718" width="30.42578125" style="3" customWidth="1"/>
    <col min="8719" max="8719" width="20.85546875" style="3" customWidth="1"/>
    <col min="8720" max="8722" width="11.42578125" style="3"/>
    <col min="8723" max="8723" width="14.42578125" style="3" customWidth="1"/>
    <col min="8724" max="8961" width="11.42578125" style="3"/>
    <col min="8962" max="8962" width="2.42578125" style="3" customWidth="1"/>
    <col min="8963" max="8963" width="30.42578125" style="3" customWidth="1"/>
    <col min="8964" max="8964" width="22.140625" style="3" customWidth="1"/>
    <col min="8965" max="8965" width="31.42578125" style="3" customWidth="1"/>
    <col min="8966" max="8966" width="29.7109375" style="3" customWidth="1"/>
    <col min="8967" max="8967" width="70.42578125" style="3" customWidth="1"/>
    <col min="8968" max="8968" width="62.28515625" style="3" customWidth="1"/>
    <col min="8969" max="8969" width="25.140625" style="3" customWidth="1"/>
    <col min="8970" max="8970" width="31.42578125" style="3" customWidth="1"/>
    <col min="8971" max="8971" width="31" style="3" customWidth="1"/>
    <col min="8972" max="8972" width="37" style="3" customWidth="1"/>
    <col min="8973" max="8973" width="30.140625" style="3" customWidth="1"/>
    <col min="8974" max="8974" width="30.42578125" style="3" customWidth="1"/>
    <col min="8975" max="8975" width="20.85546875" style="3" customWidth="1"/>
    <col min="8976" max="8978" width="11.42578125" style="3"/>
    <col min="8979" max="8979" width="14.42578125" style="3" customWidth="1"/>
    <col min="8980" max="9217" width="11.42578125" style="3"/>
    <col min="9218" max="9218" width="2.42578125" style="3" customWidth="1"/>
    <col min="9219" max="9219" width="30.42578125" style="3" customWidth="1"/>
    <col min="9220" max="9220" width="22.140625" style="3" customWidth="1"/>
    <col min="9221" max="9221" width="31.42578125" style="3" customWidth="1"/>
    <col min="9222" max="9222" width="29.7109375" style="3" customWidth="1"/>
    <col min="9223" max="9223" width="70.42578125" style="3" customWidth="1"/>
    <col min="9224" max="9224" width="62.28515625" style="3" customWidth="1"/>
    <col min="9225" max="9225" width="25.140625" style="3" customWidth="1"/>
    <col min="9226" max="9226" width="31.42578125" style="3" customWidth="1"/>
    <col min="9227" max="9227" width="31" style="3" customWidth="1"/>
    <col min="9228" max="9228" width="37" style="3" customWidth="1"/>
    <col min="9229" max="9229" width="30.140625" style="3" customWidth="1"/>
    <col min="9230" max="9230" width="30.42578125" style="3" customWidth="1"/>
    <col min="9231" max="9231" width="20.85546875" style="3" customWidth="1"/>
    <col min="9232" max="9234" width="11.42578125" style="3"/>
    <col min="9235" max="9235" width="14.42578125" style="3" customWidth="1"/>
    <col min="9236" max="9473" width="11.42578125" style="3"/>
    <col min="9474" max="9474" width="2.42578125" style="3" customWidth="1"/>
    <col min="9475" max="9475" width="30.42578125" style="3" customWidth="1"/>
    <col min="9476" max="9476" width="22.140625" style="3" customWidth="1"/>
    <col min="9477" max="9477" width="31.42578125" style="3" customWidth="1"/>
    <col min="9478" max="9478" width="29.7109375" style="3" customWidth="1"/>
    <col min="9479" max="9479" width="70.42578125" style="3" customWidth="1"/>
    <col min="9480" max="9480" width="62.28515625" style="3" customWidth="1"/>
    <col min="9481" max="9481" width="25.140625" style="3" customWidth="1"/>
    <col min="9482" max="9482" width="31.42578125" style="3" customWidth="1"/>
    <col min="9483" max="9483" width="31" style="3" customWidth="1"/>
    <col min="9484" max="9484" width="37" style="3" customWidth="1"/>
    <col min="9485" max="9485" width="30.140625" style="3" customWidth="1"/>
    <col min="9486" max="9486" width="30.42578125" style="3" customWidth="1"/>
    <col min="9487" max="9487" width="20.85546875" style="3" customWidth="1"/>
    <col min="9488" max="9490" width="11.42578125" style="3"/>
    <col min="9491" max="9491" width="14.42578125" style="3" customWidth="1"/>
    <col min="9492" max="9729" width="11.42578125" style="3"/>
    <col min="9730" max="9730" width="2.42578125" style="3" customWidth="1"/>
    <col min="9731" max="9731" width="30.42578125" style="3" customWidth="1"/>
    <col min="9732" max="9732" width="22.140625" style="3" customWidth="1"/>
    <col min="9733" max="9733" width="31.42578125" style="3" customWidth="1"/>
    <col min="9734" max="9734" width="29.7109375" style="3" customWidth="1"/>
    <col min="9735" max="9735" width="70.42578125" style="3" customWidth="1"/>
    <col min="9736" max="9736" width="62.28515625" style="3" customWidth="1"/>
    <col min="9737" max="9737" width="25.140625" style="3" customWidth="1"/>
    <col min="9738" max="9738" width="31.42578125" style="3" customWidth="1"/>
    <col min="9739" max="9739" width="31" style="3" customWidth="1"/>
    <col min="9740" max="9740" width="37" style="3" customWidth="1"/>
    <col min="9741" max="9741" width="30.140625" style="3" customWidth="1"/>
    <col min="9742" max="9742" width="30.42578125" style="3" customWidth="1"/>
    <col min="9743" max="9743" width="20.85546875" style="3" customWidth="1"/>
    <col min="9744" max="9746" width="11.42578125" style="3"/>
    <col min="9747" max="9747" width="14.42578125" style="3" customWidth="1"/>
    <col min="9748" max="9985" width="11.42578125" style="3"/>
    <col min="9986" max="9986" width="2.42578125" style="3" customWidth="1"/>
    <col min="9987" max="9987" width="30.42578125" style="3" customWidth="1"/>
    <col min="9988" max="9988" width="22.140625" style="3" customWidth="1"/>
    <col min="9989" max="9989" width="31.42578125" style="3" customWidth="1"/>
    <col min="9990" max="9990" width="29.7109375" style="3" customWidth="1"/>
    <col min="9991" max="9991" width="70.42578125" style="3" customWidth="1"/>
    <col min="9992" max="9992" width="62.28515625" style="3" customWidth="1"/>
    <col min="9993" max="9993" width="25.140625" style="3" customWidth="1"/>
    <col min="9994" max="9994" width="31.42578125" style="3" customWidth="1"/>
    <col min="9995" max="9995" width="31" style="3" customWidth="1"/>
    <col min="9996" max="9996" width="37" style="3" customWidth="1"/>
    <col min="9997" max="9997" width="30.140625" style="3" customWidth="1"/>
    <col min="9998" max="9998" width="30.42578125" style="3" customWidth="1"/>
    <col min="9999" max="9999" width="20.85546875" style="3" customWidth="1"/>
    <col min="10000" max="10002" width="11.42578125" style="3"/>
    <col min="10003" max="10003" width="14.42578125" style="3" customWidth="1"/>
    <col min="10004" max="10241" width="11.42578125" style="3"/>
    <col min="10242" max="10242" width="2.42578125" style="3" customWidth="1"/>
    <col min="10243" max="10243" width="30.42578125" style="3" customWidth="1"/>
    <col min="10244" max="10244" width="22.140625" style="3" customWidth="1"/>
    <col min="10245" max="10245" width="31.42578125" style="3" customWidth="1"/>
    <col min="10246" max="10246" width="29.7109375" style="3" customWidth="1"/>
    <col min="10247" max="10247" width="70.42578125" style="3" customWidth="1"/>
    <col min="10248" max="10248" width="62.28515625" style="3" customWidth="1"/>
    <col min="10249" max="10249" width="25.140625" style="3" customWidth="1"/>
    <col min="10250" max="10250" width="31.42578125" style="3" customWidth="1"/>
    <col min="10251" max="10251" width="31" style="3" customWidth="1"/>
    <col min="10252" max="10252" width="37" style="3" customWidth="1"/>
    <col min="10253" max="10253" width="30.140625" style="3" customWidth="1"/>
    <col min="10254" max="10254" width="30.42578125" style="3" customWidth="1"/>
    <col min="10255" max="10255" width="20.85546875" style="3" customWidth="1"/>
    <col min="10256" max="10258" width="11.42578125" style="3"/>
    <col min="10259" max="10259" width="14.42578125" style="3" customWidth="1"/>
    <col min="10260" max="10497" width="11.42578125" style="3"/>
    <col min="10498" max="10498" width="2.42578125" style="3" customWidth="1"/>
    <col min="10499" max="10499" width="30.42578125" style="3" customWidth="1"/>
    <col min="10500" max="10500" width="22.140625" style="3" customWidth="1"/>
    <col min="10501" max="10501" width="31.42578125" style="3" customWidth="1"/>
    <col min="10502" max="10502" width="29.7109375" style="3" customWidth="1"/>
    <col min="10503" max="10503" width="70.42578125" style="3" customWidth="1"/>
    <col min="10504" max="10504" width="62.28515625" style="3" customWidth="1"/>
    <col min="10505" max="10505" width="25.140625" style="3" customWidth="1"/>
    <col min="10506" max="10506" width="31.42578125" style="3" customWidth="1"/>
    <col min="10507" max="10507" width="31" style="3" customWidth="1"/>
    <col min="10508" max="10508" width="37" style="3" customWidth="1"/>
    <col min="10509" max="10509" width="30.140625" style="3" customWidth="1"/>
    <col min="10510" max="10510" width="30.42578125" style="3" customWidth="1"/>
    <col min="10511" max="10511" width="20.85546875" style="3" customWidth="1"/>
    <col min="10512" max="10514" width="11.42578125" style="3"/>
    <col min="10515" max="10515" width="14.42578125" style="3" customWidth="1"/>
    <col min="10516" max="10753" width="11.42578125" style="3"/>
    <col min="10754" max="10754" width="2.42578125" style="3" customWidth="1"/>
    <col min="10755" max="10755" width="30.42578125" style="3" customWidth="1"/>
    <col min="10756" max="10756" width="22.140625" style="3" customWidth="1"/>
    <col min="10757" max="10757" width="31.42578125" style="3" customWidth="1"/>
    <col min="10758" max="10758" width="29.7109375" style="3" customWidth="1"/>
    <col min="10759" max="10759" width="70.42578125" style="3" customWidth="1"/>
    <col min="10760" max="10760" width="62.28515625" style="3" customWidth="1"/>
    <col min="10761" max="10761" width="25.140625" style="3" customWidth="1"/>
    <col min="10762" max="10762" width="31.42578125" style="3" customWidth="1"/>
    <col min="10763" max="10763" width="31" style="3" customWidth="1"/>
    <col min="10764" max="10764" width="37" style="3" customWidth="1"/>
    <col min="10765" max="10765" width="30.140625" style="3" customWidth="1"/>
    <col min="10766" max="10766" width="30.42578125" style="3" customWidth="1"/>
    <col min="10767" max="10767" width="20.85546875" style="3" customWidth="1"/>
    <col min="10768" max="10770" width="11.42578125" style="3"/>
    <col min="10771" max="10771" width="14.42578125" style="3" customWidth="1"/>
    <col min="10772" max="11009" width="11.42578125" style="3"/>
    <col min="11010" max="11010" width="2.42578125" style="3" customWidth="1"/>
    <col min="11011" max="11011" width="30.42578125" style="3" customWidth="1"/>
    <col min="11012" max="11012" width="22.140625" style="3" customWidth="1"/>
    <col min="11013" max="11013" width="31.42578125" style="3" customWidth="1"/>
    <col min="11014" max="11014" width="29.7109375" style="3" customWidth="1"/>
    <col min="11015" max="11015" width="70.42578125" style="3" customWidth="1"/>
    <col min="11016" max="11016" width="62.28515625" style="3" customWidth="1"/>
    <col min="11017" max="11017" width="25.140625" style="3" customWidth="1"/>
    <col min="11018" max="11018" width="31.42578125" style="3" customWidth="1"/>
    <col min="11019" max="11019" width="31" style="3" customWidth="1"/>
    <col min="11020" max="11020" width="37" style="3" customWidth="1"/>
    <col min="11021" max="11021" width="30.140625" style="3" customWidth="1"/>
    <col min="11022" max="11022" width="30.42578125" style="3" customWidth="1"/>
    <col min="11023" max="11023" width="20.85546875" style="3" customWidth="1"/>
    <col min="11024" max="11026" width="11.42578125" style="3"/>
    <col min="11027" max="11027" width="14.42578125" style="3" customWidth="1"/>
    <col min="11028" max="11265" width="11.42578125" style="3"/>
    <col min="11266" max="11266" width="2.42578125" style="3" customWidth="1"/>
    <col min="11267" max="11267" width="30.42578125" style="3" customWidth="1"/>
    <col min="11268" max="11268" width="22.140625" style="3" customWidth="1"/>
    <col min="11269" max="11269" width="31.42578125" style="3" customWidth="1"/>
    <col min="11270" max="11270" width="29.7109375" style="3" customWidth="1"/>
    <col min="11271" max="11271" width="70.42578125" style="3" customWidth="1"/>
    <col min="11272" max="11272" width="62.28515625" style="3" customWidth="1"/>
    <col min="11273" max="11273" width="25.140625" style="3" customWidth="1"/>
    <col min="11274" max="11274" width="31.42578125" style="3" customWidth="1"/>
    <col min="11275" max="11275" width="31" style="3" customWidth="1"/>
    <col min="11276" max="11276" width="37" style="3" customWidth="1"/>
    <col min="11277" max="11277" width="30.140625" style="3" customWidth="1"/>
    <col min="11278" max="11278" width="30.42578125" style="3" customWidth="1"/>
    <col min="11279" max="11279" width="20.85546875" style="3" customWidth="1"/>
    <col min="11280" max="11282" width="11.42578125" style="3"/>
    <col min="11283" max="11283" width="14.42578125" style="3" customWidth="1"/>
    <col min="11284" max="11521" width="11.42578125" style="3"/>
    <col min="11522" max="11522" width="2.42578125" style="3" customWidth="1"/>
    <col min="11523" max="11523" width="30.42578125" style="3" customWidth="1"/>
    <col min="11524" max="11524" width="22.140625" style="3" customWidth="1"/>
    <col min="11525" max="11525" width="31.42578125" style="3" customWidth="1"/>
    <col min="11526" max="11526" width="29.7109375" style="3" customWidth="1"/>
    <col min="11527" max="11527" width="70.42578125" style="3" customWidth="1"/>
    <col min="11528" max="11528" width="62.28515625" style="3" customWidth="1"/>
    <col min="11529" max="11529" width="25.140625" style="3" customWidth="1"/>
    <col min="11530" max="11530" width="31.42578125" style="3" customWidth="1"/>
    <col min="11531" max="11531" width="31" style="3" customWidth="1"/>
    <col min="11532" max="11532" width="37" style="3" customWidth="1"/>
    <col min="11533" max="11533" width="30.140625" style="3" customWidth="1"/>
    <col min="11534" max="11534" width="30.42578125" style="3" customWidth="1"/>
    <col min="11535" max="11535" width="20.85546875" style="3" customWidth="1"/>
    <col min="11536" max="11538" width="11.42578125" style="3"/>
    <col min="11539" max="11539" width="14.42578125" style="3" customWidth="1"/>
    <col min="11540" max="11777" width="11.42578125" style="3"/>
    <col min="11778" max="11778" width="2.42578125" style="3" customWidth="1"/>
    <col min="11779" max="11779" width="30.42578125" style="3" customWidth="1"/>
    <col min="11780" max="11780" width="22.140625" style="3" customWidth="1"/>
    <col min="11781" max="11781" width="31.42578125" style="3" customWidth="1"/>
    <col min="11782" max="11782" width="29.7109375" style="3" customWidth="1"/>
    <col min="11783" max="11783" width="70.42578125" style="3" customWidth="1"/>
    <col min="11784" max="11784" width="62.28515625" style="3" customWidth="1"/>
    <col min="11785" max="11785" width="25.140625" style="3" customWidth="1"/>
    <col min="11786" max="11786" width="31.42578125" style="3" customWidth="1"/>
    <col min="11787" max="11787" width="31" style="3" customWidth="1"/>
    <col min="11788" max="11788" width="37" style="3" customWidth="1"/>
    <col min="11789" max="11789" width="30.140625" style="3" customWidth="1"/>
    <col min="11790" max="11790" width="30.42578125" style="3" customWidth="1"/>
    <col min="11791" max="11791" width="20.85546875" style="3" customWidth="1"/>
    <col min="11792" max="11794" width="11.42578125" style="3"/>
    <col min="11795" max="11795" width="14.42578125" style="3" customWidth="1"/>
    <col min="11796" max="12033" width="11.42578125" style="3"/>
    <col min="12034" max="12034" width="2.42578125" style="3" customWidth="1"/>
    <col min="12035" max="12035" width="30.42578125" style="3" customWidth="1"/>
    <col min="12036" max="12036" width="22.140625" style="3" customWidth="1"/>
    <col min="12037" max="12037" width="31.42578125" style="3" customWidth="1"/>
    <col min="12038" max="12038" width="29.7109375" style="3" customWidth="1"/>
    <col min="12039" max="12039" width="70.42578125" style="3" customWidth="1"/>
    <col min="12040" max="12040" width="62.28515625" style="3" customWidth="1"/>
    <col min="12041" max="12041" width="25.140625" style="3" customWidth="1"/>
    <col min="12042" max="12042" width="31.42578125" style="3" customWidth="1"/>
    <col min="12043" max="12043" width="31" style="3" customWidth="1"/>
    <col min="12044" max="12044" width="37" style="3" customWidth="1"/>
    <col min="12045" max="12045" width="30.140625" style="3" customWidth="1"/>
    <col min="12046" max="12046" width="30.42578125" style="3" customWidth="1"/>
    <col min="12047" max="12047" width="20.85546875" style="3" customWidth="1"/>
    <col min="12048" max="12050" width="11.42578125" style="3"/>
    <col min="12051" max="12051" width="14.42578125" style="3" customWidth="1"/>
    <col min="12052" max="12289" width="11.42578125" style="3"/>
    <col min="12290" max="12290" width="2.42578125" style="3" customWidth="1"/>
    <col min="12291" max="12291" width="30.42578125" style="3" customWidth="1"/>
    <col min="12292" max="12292" width="22.140625" style="3" customWidth="1"/>
    <col min="12293" max="12293" width="31.42578125" style="3" customWidth="1"/>
    <col min="12294" max="12294" width="29.7109375" style="3" customWidth="1"/>
    <col min="12295" max="12295" width="70.42578125" style="3" customWidth="1"/>
    <col min="12296" max="12296" width="62.28515625" style="3" customWidth="1"/>
    <col min="12297" max="12297" width="25.140625" style="3" customWidth="1"/>
    <col min="12298" max="12298" width="31.42578125" style="3" customWidth="1"/>
    <col min="12299" max="12299" width="31" style="3" customWidth="1"/>
    <col min="12300" max="12300" width="37" style="3" customWidth="1"/>
    <col min="12301" max="12301" width="30.140625" style="3" customWidth="1"/>
    <col min="12302" max="12302" width="30.42578125" style="3" customWidth="1"/>
    <col min="12303" max="12303" width="20.85546875" style="3" customWidth="1"/>
    <col min="12304" max="12306" width="11.42578125" style="3"/>
    <col min="12307" max="12307" width="14.42578125" style="3" customWidth="1"/>
    <col min="12308" max="12545" width="11.42578125" style="3"/>
    <col min="12546" max="12546" width="2.42578125" style="3" customWidth="1"/>
    <col min="12547" max="12547" width="30.42578125" style="3" customWidth="1"/>
    <col min="12548" max="12548" width="22.140625" style="3" customWidth="1"/>
    <col min="12549" max="12549" width="31.42578125" style="3" customWidth="1"/>
    <col min="12550" max="12550" width="29.7109375" style="3" customWidth="1"/>
    <col min="12551" max="12551" width="70.42578125" style="3" customWidth="1"/>
    <col min="12552" max="12552" width="62.28515625" style="3" customWidth="1"/>
    <col min="12553" max="12553" width="25.140625" style="3" customWidth="1"/>
    <col min="12554" max="12554" width="31.42578125" style="3" customWidth="1"/>
    <col min="12555" max="12555" width="31" style="3" customWidth="1"/>
    <col min="12556" max="12556" width="37" style="3" customWidth="1"/>
    <col min="12557" max="12557" width="30.140625" style="3" customWidth="1"/>
    <col min="12558" max="12558" width="30.42578125" style="3" customWidth="1"/>
    <col min="12559" max="12559" width="20.85546875" style="3" customWidth="1"/>
    <col min="12560" max="12562" width="11.42578125" style="3"/>
    <col min="12563" max="12563" width="14.42578125" style="3" customWidth="1"/>
    <col min="12564" max="12801" width="11.42578125" style="3"/>
    <col min="12802" max="12802" width="2.42578125" style="3" customWidth="1"/>
    <col min="12803" max="12803" width="30.42578125" style="3" customWidth="1"/>
    <col min="12804" max="12804" width="22.140625" style="3" customWidth="1"/>
    <col min="12805" max="12805" width="31.42578125" style="3" customWidth="1"/>
    <col min="12806" max="12806" width="29.7109375" style="3" customWidth="1"/>
    <col min="12807" max="12807" width="70.42578125" style="3" customWidth="1"/>
    <col min="12808" max="12808" width="62.28515625" style="3" customWidth="1"/>
    <col min="12809" max="12809" width="25.140625" style="3" customWidth="1"/>
    <col min="12810" max="12810" width="31.42578125" style="3" customWidth="1"/>
    <col min="12811" max="12811" width="31" style="3" customWidth="1"/>
    <col min="12812" max="12812" width="37" style="3" customWidth="1"/>
    <col min="12813" max="12813" width="30.140625" style="3" customWidth="1"/>
    <col min="12814" max="12814" width="30.42578125" style="3" customWidth="1"/>
    <col min="12815" max="12815" width="20.85546875" style="3" customWidth="1"/>
    <col min="12816" max="12818" width="11.42578125" style="3"/>
    <col min="12819" max="12819" width="14.42578125" style="3" customWidth="1"/>
    <col min="12820" max="13057" width="11.42578125" style="3"/>
    <col min="13058" max="13058" width="2.42578125" style="3" customWidth="1"/>
    <col min="13059" max="13059" width="30.42578125" style="3" customWidth="1"/>
    <col min="13060" max="13060" width="22.140625" style="3" customWidth="1"/>
    <col min="13061" max="13061" width="31.42578125" style="3" customWidth="1"/>
    <col min="13062" max="13062" width="29.7109375" style="3" customWidth="1"/>
    <col min="13063" max="13063" width="70.42578125" style="3" customWidth="1"/>
    <col min="13064" max="13064" width="62.28515625" style="3" customWidth="1"/>
    <col min="13065" max="13065" width="25.140625" style="3" customWidth="1"/>
    <col min="13066" max="13066" width="31.42578125" style="3" customWidth="1"/>
    <col min="13067" max="13067" width="31" style="3" customWidth="1"/>
    <col min="13068" max="13068" width="37" style="3" customWidth="1"/>
    <col min="13069" max="13069" width="30.140625" style="3" customWidth="1"/>
    <col min="13070" max="13070" width="30.42578125" style="3" customWidth="1"/>
    <col min="13071" max="13071" width="20.85546875" style="3" customWidth="1"/>
    <col min="13072" max="13074" width="11.42578125" style="3"/>
    <col min="13075" max="13075" width="14.42578125" style="3" customWidth="1"/>
    <col min="13076" max="13313" width="11.42578125" style="3"/>
    <col min="13314" max="13314" width="2.42578125" style="3" customWidth="1"/>
    <col min="13315" max="13315" width="30.42578125" style="3" customWidth="1"/>
    <col min="13316" max="13316" width="22.140625" style="3" customWidth="1"/>
    <col min="13317" max="13317" width="31.42578125" style="3" customWidth="1"/>
    <col min="13318" max="13318" width="29.7109375" style="3" customWidth="1"/>
    <col min="13319" max="13319" width="70.42578125" style="3" customWidth="1"/>
    <col min="13320" max="13320" width="62.28515625" style="3" customWidth="1"/>
    <col min="13321" max="13321" width="25.140625" style="3" customWidth="1"/>
    <col min="13322" max="13322" width="31.42578125" style="3" customWidth="1"/>
    <col min="13323" max="13323" width="31" style="3" customWidth="1"/>
    <col min="13324" max="13324" width="37" style="3" customWidth="1"/>
    <col min="13325" max="13325" width="30.140625" style="3" customWidth="1"/>
    <col min="13326" max="13326" width="30.42578125" style="3" customWidth="1"/>
    <col min="13327" max="13327" width="20.85546875" style="3" customWidth="1"/>
    <col min="13328" max="13330" width="11.42578125" style="3"/>
    <col min="13331" max="13331" width="14.42578125" style="3" customWidth="1"/>
    <col min="13332" max="13569" width="11.42578125" style="3"/>
    <col min="13570" max="13570" width="2.42578125" style="3" customWidth="1"/>
    <col min="13571" max="13571" width="30.42578125" style="3" customWidth="1"/>
    <col min="13572" max="13572" width="22.140625" style="3" customWidth="1"/>
    <col min="13573" max="13573" width="31.42578125" style="3" customWidth="1"/>
    <col min="13574" max="13574" width="29.7109375" style="3" customWidth="1"/>
    <col min="13575" max="13575" width="70.42578125" style="3" customWidth="1"/>
    <col min="13576" max="13576" width="62.28515625" style="3" customWidth="1"/>
    <col min="13577" max="13577" width="25.140625" style="3" customWidth="1"/>
    <col min="13578" max="13578" width="31.42578125" style="3" customWidth="1"/>
    <col min="13579" max="13579" width="31" style="3" customWidth="1"/>
    <col min="13580" max="13580" width="37" style="3" customWidth="1"/>
    <col min="13581" max="13581" width="30.140625" style="3" customWidth="1"/>
    <col min="13582" max="13582" width="30.42578125" style="3" customWidth="1"/>
    <col min="13583" max="13583" width="20.85546875" style="3" customWidth="1"/>
    <col min="13584" max="13586" width="11.42578125" style="3"/>
    <col min="13587" max="13587" width="14.42578125" style="3" customWidth="1"/>
    <col min="13588" max="13825" width="11.42578125" style="3"/>
    <col min="13826" max="13826" width="2.42578125" style="3" customWidth="1"/>
    <col min="13827" max="13827" width="30.42578125" style="3" customWidth="1"/>
    <col min="13828" max="13828" width="22.140625" style="3" customWidth="1"/>
    <col min="13829" max="13829" width="31.42578125" style="3" customWidth="1"/>
    <col min="13830" max="13830" width="29.7109375" style="3" customWidth="1"/>
    <col min="13831" max="13831" width="70.42578125" style="3" customWidth="1"/>
    <col min="13832" max="13832" width="62.28515625" style="3" customWidth="1"/>
    <col min="13833" max="13833" width="25.140625" style="3" customWidth="1"/>
    <col min="13834" max="13834" width="31.42578125" style="3" customWidth="1"/>
    <col min="13835" max="13835" width="31" style="3" customWidth="1"/>
    <col min="13836" max="13836" width="37" style="3" customWidth="1"/>
    <col min="13837" max="13837" width="30.140625" style="3" customWidth="1"/>
    <col min="13838" max="13838" width="30.42578125" style="3" customWidth="1"/>
    <col min="13839" max="13839" width="20.85546875" style="3" customWidth="1"/>
    <col min="13840" max="13842" width="11.42578125" style="3"/>
    <col min="13843" max="13843" width="14.42578125" style="3" customWidth="1"/>
    <col min="13844" max="14081" width="11.42578125" style="3"/>
    <col min="14082" max="14082" width="2.42578125" style="3" customWidth="1"/>
    <col min="14083" max="14083" width="30.42578125" style="3" customWidth="1"/>
    <col min="14084" max="14084" width="22.140625" style="3" customWidth="1"/>
    <col min="14085" max="14085" width="31.42578125" style="3" customWidth="1"/>
    <col min="14086" max="14086" width="29.7109375" style="3" customWidth="1"/>
    <col min="14087" max="14087" width="70.42578125" style="3" customWidth="1"/>
    <col min="14088" max="14088" width="62.28515625" style="3" customWidth="1"/>
    <col min="14089" max="14089" width="25.140625" style="3" customWidth="1"/>
    <col min="14090" max="14090" width="31.42578125" style="3" customWidth="1"/>
    <col min="14091" max="14091" width="31" style="3" customWidth="1"/>
    <col min="14092" max="14092" width="37" style="3" customWidth="1"/>
    <col min="14093" max="14093" width="30.140625" style="3" customWidth="1"/>
    <col min="14094" max="14094" width="30.42578125" style="3" customWidth="1"/>
    <col min="14095" max="14095" width="20.85546875" style="3" customWidth="1"/>
    <col min="14096" max="14098" width="11.42578125" style="3"/>
    <col min="14099" max="14099" width="14.42578125" style="3" customWidth="1"/>
    <col min="14100" max="14337" width="11.42578125" style="3"/>
    <col min="14338" max="14338" width="2.42578125" style="3" customWidth="1"/>
    <col min="14339" max="14339" width="30.42578125" style="3" customWidth="1"/>
    <col min="14340" max="14340" width="22.140625" style="3" customWidth="1"/>
    <col min="14341" max="14341" width="31.42578125" style="3" customWidth="1"/>
    <col min="14342" max="14342" width="29.7109375" style="3" customWidth="1"/>
    <col min="14343" max="14343" width="70.42578125" style="3" customWidth="1"/>
    <col min="14344" max="14344" width="62.28515625" style="3" customWidth="1"/>
    <col min="14345" max="14345" width="25.140625" style="3" customWidth="1"/>
    <col min="14346" max="14346" width="31.42578125" style="3" customWidth="1"/>
    <col min="14347" max="14347" width="31" style="3" customWidth="1"/>
    <col min="14348" max="14348" width="37" style="3" customWidth="1"/>
    <col min="14349" max="14349" width="30.140625" style="3" customWidth="1"/>
    <col min="14350" max="14350" width="30.42578125" style="3" customWidth="1"/>
    <col min="14351" max="14351" width="20.85546875" style="3" customWidth="1"/>
    <col min="14352" max="14354" width="11.42578125" style="3"/>
    <col min="14355" max="14355" width="14.42578125" style="3" customWidth="1"/>
    <col min="14356" max="14593" width="11.42578125" style="3"/>
    <col min="14594" max="14594" width="2.42578125" style="3" customWidth="1"/>
    <col min="14595" max="14595" width="30.42578125" style="3" customWidth="1"/>
    <col min="14596" max="14596" width="22.140625" style="3" customWidth="1"/>
    <col min="14597" max="14597" width="31.42578125" style="3" customWidth="1"/>
    <col min="14598" max="14598" width="29.7109375" style="3" customWidth="1"/>
    <col min="14599" max="14599" width="70.42578125" style="3" customWidth="1"/>
    <col min="14600" max="14600" width="62.28515625" style="3" customWidth="1"/>
    <col min="14601" max="14601" width="25.140625" style="3" customWidth="1"/>
    <col min="14602" max="14602" width="31.42578125" style="3" customWidth="1"/>
    <col min="14603" max="14603" width="31" style="3" customWidth="1"/>
    <col min="14604" max="14604" width="37" style="3" customWidth="1"/>
    <col min="14605" max="14605" width="30.140625" style="3" customWidth="1"/>
    <col min="14606" max="14606" width="30.42578125" style="3" customWidth="1"/>
    <col min="14607" max="14607" width="20.85546875" style="3" customWidth="1"/>
    <col min="14608" max="14610" width="11.42578125" style="3"/>
    <col min="14611" max="14611" width="14.42578125" style="3" customWidth="1"/>
    <col min="14612" max="14849" width="11.42578125" style="3"/>
    <col min="14850" max="14850" width="2.42578125" style="3" customWidth="1"/>
    <col min="14851" max="14851" width="30.42578125" style="3" customWidth="1"/>
    <col min="14852" max="14852" width="22.140625" style="3" customWidth="1"/>
    <col min="14853" max="14853" width="31.42578125" style="3" customWidth="1"/>
    <col min="14854" max="14854" width="29.7109375" style="3" customWidth="1"/>
    <col min="14855" max="14855" width="70.42578125" style="3" customWidth="1"/>
    <col min="14856" max="14856" width="62.28515625" style="3" customWidth="1"/>
    <col min="14857" max="14857" width="25.140625" style="3" customWidth="1"/>
    <col min="14858" max="14858" width="31.42578125" style="3" customWidth="1"/>
    <col min="14859" max="14859" width="31" style="3" customWidth="1"/>
    <col min="14860" max="14860" width="37" style="3" customWidth="1"/>
    <col min="14861" max="14861" width="30.140625" style="3" customWidth="1"/>
    <col min="14862" max="14862" width="30.42578125" style="3" customWidth="1"/>
    <col min="14863" max="14863" width="20.85546875" style="3" customWidth="1"/>
    <col min="14864" max="14866" width="11.42578125" style="3"/>
    <col min="14867" max="14867" width="14.42578125" style="3" customWidth="1"/>
    <col min="14868" max="15105" width="11.42578125" style="3"/>
    <col min="15106" max="15106" width="2.42578125" style="3" customWidth="1"/>
    <col min="15107" max="15107" width="30.42578125" style="3" customWidth="1"/>
    <col min="15108" max="15108" width="22.140625" style="3" customWidth="1"/>
    <col min="15109" max="15109" width="31.42578125" style="3" customWidth="1"/>
    <col min="15110" max="15110" width="29.7109375" style="3" customWidth="1"/>
    <col min="15111" max="15111" width="70.42578125" style="3" customWidth="1"/>
    <col min="15112" max="15112" width="62.28515625" style="3" customWidth="1"/>
    <col min="15113" max="15113" width="25.140625" style="3" customWidth="1"/>
    <col min="15114" max="15114" width="31.42578125" style="3" customWidth="1"/>
    <col min="15115" max="15115" width="31" style="3" customWidth="1"/>
    <col min="15116" max="15116" width="37" style="3" customWidth="1"/>
    <col min="15117" max="15117" width="30.140625" style="3" customWidth="1"/>
    <col min="15118" max="15118" width="30.42578125" style="3" customWidth="1"/>
    <col min="15119" max="15119" width="20.85546875" style="3" customWidth="1"/>
    <col min="15120" max="15122" width="11.42578125" style="3"/>
    <col min="15123" max="15123" width="14.42578125" style="3" customWidth="1"/>
    <col min="15124" max="15361" width="11.42578125" style="3"/>
    <col min="15362" max="15362" width="2.42578125" style="3" customWidth="1"/>
    <col min="15363" max="15363" width="30.42578125" style="3" customWidth="1"/>
    <col min="15364" max="15364" width="22.140625" style="3" customWidth="1"/>
    <col min="15365" max="15365" width="31.42578125" style="3" customWidth="1"/>
    <col min="15366" max="15366" width="29.7109375" style="3" customWidth="1"/>
    <col min="15367" max="15367" width="70.42578125" style="3" customWidth="1"/>
    <col min="15368" max="15368" width="62.28515625" style="3" customWidth="1"/>
    <col min="15369" max="15369" width="25.140625" style="3" customWidth="1"/>
    <col min="15370" max="15370" width="31.42578125" style="3" customWidth="1"/>
    <col min="15371" max="15371" width="31" style="3" customWidth="1"/>
    <col min="15372" max="15372" width="37" style="3" customWidth="1"/>
    <col min="15373" max="15373" width="30.140625" style="3" customWidth="1"/>
    <col min="15374" max="15374" width="30.42578125" style="3" customWidth="1"/>
    <col min="15375" max="15375" width="20.85546875" style="3" customWidth="1"/>
    <col min="15376" max="15378" width="11.42578125" style="3"/>
    <col min="15379" max="15379" width="14.42578125" style="3" customWidth="1"/>
    <col min="15380" max="15617" width="11.42578125" style="3"/>
    <col min="15618" max="15618" width="2.42578125" style="3" customWidth="1"/>
    <col min="15619" max="15619" width="30.42578125" style="3" customWidth="1"/>
    <col min="15620" max="15620" width="22.140625" style="3" customWidth="1"/>
    <col min="15621" max="15621" width="31.42578125" style="3" customWidth="1"/>
    <col min="15622" max="15622" width="29.7109375" style="3" customWidth="1"/>
    <col min="15623" max="15623" width="70.42578125" style="3" customWidth="1"/>
    <col min="15624" max="15624" width="62.28515625" style="3" customWidth="1"/>
    <col min="15625" max="15625" width="25.140625" style="3" customWidth="1"/>
    <col min="15626" max="15626" width="31.42578125" style="3" customWidth="1"/>
    <col min="15627" max="15627" width="31" style="3" customWidth="1"/>
    <col min="15628" max="15628" width="37" style="3" customWidth="1"/>
    <col min="15629" max="15629" width="30.140625" style="3" customWidth="1"/>
    <col min="15630" max="15630" width="30.42578125" style="3" customWidth="1"/>
    <col min="15631" max="15631" width="20.85546875" style="3" customWidth="1"/>
    <col min="15632" max="15634" width="11.42578125" style="3"/>
    <col min="15635" max="15635" width="14.42578125" style="3" customWidth="1"/>
    <col min="15636" max="15873" width="11.42578125" style="3"/>
    <col min="15874" max="15874" width="2.42578125" style="3" customWidth="1"/>
    <col min="15875" max="15875" width="30.42578125" style="3" customWidth="1"/>
    <col min="15876" max="15876" width="22.140625" style="3" customWidth="1"/>
    <col min="15877" max="15877" width="31.42578125" style="3" customWidth="1"/>
    <col min="15878" max="15878" width="29.7109375" style="3" customWidth="1"/>
    <col min="15879" max="15879" width="70.42578125" style="3" customWidth="1"/>
    <col min="15880" max="15880" width="62.28515625" style="3" customWidth="1"/>
    <col min="15881" max="15881" width="25.140625" style="3" customWidth="1"/>
    <col min="15882" max="15882" width="31.42578125" style="3" customWidth="1"/>
    <col min="15883" max="15883" width="31" style="3" customWidth="1"/>
    <col min="15884" max="15884" width="37" style="3" customWidth="1"/>
    <col min="15885" max="15885" width="30.140625" style="3" customWidth="1"/>
    <col min="15886" max="15886" width="30.42578125" style="3" customWidth="1"/>
    <col min="15887" max="15887" width="20.85546875" style="3" customWidth="1"/>
    <col min="15888" max="15890" width="11.42578125" style="3"/>
    <col min="15891" max="15891" width="14.42578125" style="3" customWidth="1"/>
    <col min="15892" max="16129" width="11.42578125" style="3"/>
    <col min="16130" max="16130" width="2.42578125" style="3" customWidth="1"/>
    <col min="16131" max="16131" width="30.42578125" style="3" customWidth="1"/>
    <col min="16132" max="16132" width="22.140625" style="3" customWidth="1"/>
    <col min="16133" max="16133" width="31.42578125" style="3" customWidth="1"/>
    <col min="16134" max="16134" width="29.7109375" style="3" customWidth="1"/>
    <col min="16135" max="16135" width="70.42578125" style="3" customWidth="1"/>
    <col min="16136" max="16136" width="62.28515625" style="3" customWidth="1"/>
    <col min="16137" max="16137" width="25.140625" style="3" customWidth="1"/>
    <col min="16138" max="16138" width="31.42578125" style="3" customWidth="1"/>
    <col min="16139" max="16139" width="31" style="3" customWidth="1"/>
    <col min="16140" max="16140" width="37" style="3" customWidth="1"/>
    <col min="16141" max="16141" width="30.140625" style="3" customWidth="1"/>
    <col min="16142" max="16142" width="30.42578125" style="3" customWidth="1"/>
    <col min="16143" max="16143" width="20.85546875" style="3" customWidth="1"/>
    <col min="16144" max="16146" width="11.42578125" style="3"/>
    <col min="16147" max="16147" width="14.42578125" style="3" customWidth="1"/>
    <col min="16148" max="16384" width="11.42578125" style="3"/>
  </cols>
  <sheetData>
    <row r="1" spans="2:26" ht="62.25" thickBot="1" x14ac:dyDescent="0.25">
      <c r="B1" s="385" t="s">
        <v>261</v>
      </c>
      <c r="C1" s="385"/>
      <c r="D1" s="385"/>
      <c r="E1" s="385"/>
      <c r="F1" s="385"/>
      <c r="G1" s="385"/>
      <c r="H1" s="385"/>
      <c r="I1" s="385"/>
      <c r="J1" s="385"/>
      <c r="K1" s="134"/>
      <c r="L1" s="135"/>
      <c r="Z1" s="30"/>
    </row>
    <row r="2" spans="2:26" ht="32.25" thickBot="1" x14ac:dyDescent="0.25">
      <c r="B2" s="386" t="s">
        <v>339</v>
      </c>
      <c r="C2" s="386"/>
      <c r="D2" s="386"/>
      <c r="E2" s="386"/>
      <c r="F2" s="386"/>
      <c r="G2" s="386"/>
      <c r="H2" s="386"/>
      <c r="I2" s="386"/>
      <c r="J2" s="386"/>
      <c r="K2" s="136"/>
      <c r="L2" s="137"/>
      <c r="Z2" s="30"/>
    </row>
    <row r="3" spans="2:26" ht="33" thickTop="1" thickBot="1" x14ac:dyDescent="0.25">
      <c r="B3" s="138" t="s">
        <v>262</v>
      </c>
      <c r="C3" s="139" t="s">
        <v>263</v>
      </c>
      <c r="D3" s="139" t="s">
        <v>67</v>
      </c>
      <c r="E3" s="140" t="s">
        <v>264</v>
      </c>
      <c r="F3" s="141" t="s">
        <v>265</v>
      </c>
      <c r="G3" s="141" t="s">
        <v>266</v>
      </c>
      <c r="H3" s="142" t="s">
        <v>267</v>
      </c>
      <c r="I3" s="142" t="s">
        <v>268</v>
      </c>
      <c r="J3" s="142" t="s">
        <v>269</v>
      </c>
      <c r="K3" s="143" t="s">
        <v>270</v>
      </c>
      <c r="L3" s="144" t="s">
        <v>72</v>
      </c>
    </row>
    <row r="4" spans="2:26" ht="11.45" customHeight="1" thickTop="1" thickBot="1" x14ac:dyDescent="0.25">
      <c r="B4" s="145"/>
      <c r="C4" s="146"/>
      <c r="D4" s="146"/>
      <c r="E4" s="146"/>
      <c r="F4" s="147"/>
      <c r="G4" s="148"/>
      <c r="H4" s="149"/>
      <c r="I4" s="149"/>
      <c r="J4" s="149"/>
      <c r="K4" s="150"/>
    </row>
    <row r="5" spans="2:26" ht="22.5" thickTop="1" thickBot="1" x14ac:dyDescent="0.25">
      <c r="B5" s="382" t="s">
        <v>271</v>
      </c>
      <c r="C5" s="382"/>
      <c r="D5" s="382"/>
      <c r="E5" s="382"/>
      <c r="F5" s="382"/>
      <c r="G5" s="382"/>
      <c r="H5" s="382"/>
      <c r="I5" s="382"/>
      <c r="J5" s="383"/>
      <c r="K5" s="387" t="s">
        <v>360</v>
      </c>
    </row>
    <row r="6" spans="2:26" ht="111.95" customHeight="1" thickTop="1" thickBot="1" x14ac:dyDescent="0.35">
      <c r="B6" s="151">
        <v>45081</v>
      </c>
      <c r="C6" s="152">
        <f>'04 JUNIO '!C68</f>
        <v>25</v>
      </c>
      <c r="D6" s="152">
        <f>'04 JUNIO '!B68</f>
        <v>81</v>
      </c>
      <c r="E6" s="153" t="s">
        <v>272</v>
      </c>
      <c r="F6" s="154" t="s">
        <v>273</v>
      </c>
      <c r="G6" s="155"/>
      <c r="H6" s="156">
        <f>'04 JUNIO '!G68</f>
        <v>12603035</v>
      </c>
      <c r="I6" s="157"/>
      <c r="J6" s="158"/>
      <c r="K6" s="387"/>
    </row>
    <row r="7" spans="2:26" ht="23.25" customHeight="1" thickTop="1" thickBot="1" x14ac:dyDescent="0.35">
      <c r="B7" s="191">
        <v>45081</v>
      </c>
      <c r="C7" s="152">
        <f>'04 JUNIO '!U29</f>
        <v>4</v>
      </c>
      <c r="D7" s="152">
        <f>'04 JUNIO '!T29</f>
        <v>15</v>
      </c>
      <c r="E7" s="159"/>
      <c r="F7" s="160" t="s">
        <v>274</v>
      </c>
      <c r="G7" s="155"/>
      <c r="H7" s="156">
        <f>'04 JUNIO '!Y29</f>
        <v>3383629</v>
      </c>
      <c r="I7" s="157"/>
      <c r="J7" s="158"/>
      <c r="K7" s="387"/>
      <c r="L7" s="161"/>
      <c r="P7" s="162"/>
    </row>
    <row r="8" spans="2:26" ht="78.95" customHeight="1" thickTop="1" thickBot="1" x14ac:dyDescent="0.35">
      <c r="B8" s="191">
        <v>45081</v>
      </c>
      <c r="C8" s="152">
        <f>'04 JUNIO '!L26</f>
        <v>5</v>
      </c>
      <c r="D8" s="152">
        <f>'04 JUNIO '!K26</f>
        <v>12</v>
      </c>
      <c r="E8" s="159"/>
      <c r="F8" s="160" t="s">
        <v>275</v>
      </c>
      <c r="G8" s="155"/>
      <c r="H8" s="156">
        <f>'04 JUNIO '!P26</f>
        <v>2020911</v>
      </c>
      <c r="I8" s="157"/>
      <c r="J8" s="158"/>
      <c r="K8" s="387"/>
      <c r="L8" s="161"/>
    </row>
    <row r="9" spans="2:26" ht="21.95" customHeight="1" thickTop="1" thickBot="1" x14ac:dyDescent="0.35">
      <c r="B9" s="151"/>
      <c r="C9" s="163"/>
      <c r="D9" s="163"/>
      <c r="E9" s="159"/>
      <c r="F9" s="160"/>
      <c r="G9" s="155"/>
      <c r="H9" s="156"/>
      <c r="I9" s="157"/>
      <c r="J9" s="158"/>
      <c r="K9" s="388">
        <v>28009396</v>
      </c>
      <c r="L9" s="3"/>
    </row>
    <row r="10" spans="2:26" ht="21.95" customHeight="1" thickTop="1" thickBot="1" x14ac:dyDescent="0.35">
      <c r="B10" s="151"/>
      <c r="C10" s="163"/>
      <c r="D10" s="163"/>
      <c r="E10" s="159"/>
      <c r="F10" s="160"/>
      <c r="G10" s="155"/>
      <c r="H10" s="156"/>
      <c r="I10" s="157"/>
      <c r="J10" s="158"/>
      <c r="K10" s="388"/>
      <c r="L10" s="164" t="s">
        <v>276</v>
      </c>
      <c r="M10" s="165" t="s">
        <v>277</v>
      </c>
    </row>
    <row r="11" spans="2:26" ht="24.75" thickTop="1" thickBot="1" x14ac:dyDescent="0.4">
      <c r="B11" s="151"/>
      <c r="C11" s="163"/>
      <c r="D11" s="163"/>
      <c r="E11" s="159"/>
      <c r="G11" s="155"/>
      <c r="H11" s="156"/>
      <c r="I11" s="157"/>
      <c r="J11" s="166"/>
      <c r="K11" s="388"/>
      <c r="L11" s="167">
        <f>SUM(H6:I11)</f>
        <v>18007575</v>
      </c>
      <c r="M11" s="168">
        <f>L11+K9+L19+L28+L55+L37+L46+L64</f>
        <v>130159343</v>
      </c>
      <c r="N11" s="113"/>
      <c r="O11" s="113"/>
      <c r="Q11" s="82"/>
    </row>
    <row r="12" spans="2:26" ht="22.5" thickTop="1" thickBot="1" x14ac:dyDescent="0.35">
      <c r="B12" s="151" t="s">
        <v>45</v>
      </c>
      <c r="C12" s="152">
        <f>SUM(C6:C8)</f>
        <v>34</v>
      </c>
      <c r="D12" s="152">
        <f>SUM(D6:D8)</f>
        <v>108</v>
      </c>
      <c r="E12" s="152">
        <f>SUM(E6:E11)</f>
        <v>0</v>
      </c>
      <c r="F12" s="160"/>
      <c r="G12" s="155"/>
      <c r="H12" s="169">
        <f>SUM(H6:H11)</f>
        <v>18007575</v>
      </c>
      <c r="I12" s="170">
        <f>SUM(I11)</f>
        <v>0</v>
      </c>
      <c r="J12" s="171">
        <v>0</v>
      </c>
      <c r="K12" s="388"/>
      <c r="L12" s="172"/>
      <c r="M12" s="23"/>
      <c r="N12" s="23"/>
      <c r="O12" s="23"/>
      <c r="P12" s="23"/>
    </row>
    <row r="13" spans="2:26" ht="12.75" customHeight="1" thickTop="1" thickBot="1" x14ac:dyDescent="0.4">
      <c r="B13" s="173"/>
      <c r="C13" s="174"/>
      <c r="D13" s="174"/>
      <c r="E13" s="174"/>
      <c r="F13" s="175"/>
      <c r="G13" s="175"/>
      <c r="H13" s="176"/>
      <c r="I13" s="176"/>
      <c r="J13" s="177" t="s">
        <v>278</v>
      </c>
      <c r="K13" s="178"/>
      <c r="L13" s="172"/>
      <c r="M13" s="23"/>
      <c r="N13" s="23"/>
      <c r="O13" s="23"/>
      <c r="P13" s="23"/>
    </row>
    <row r="14" spans="2:26" ht="21.95" customHeight="1" thickTop="1" thickBot="1" x14ac:dyDescent="0.25">
      <c r="B14" s="382" t="s">
        <v>271</v>
      </c>
      <c r="C14" s="382"/>
      <c r="D14" s="382"/>
      <c r="E14" s="382"/>
      <c r="F14" s="382"/>
      <c r="G14" s="382"/>
      <c r="H14" s="382"/>
      <c r="I14" s="382"/>
      <c r="J14" s="383"/>
      <c r="K14" s="384"/>
      <c r="L14" s="179"/>
      <c r="N14" s="23"/>
      <c r="O14" s="23"/>
      <c r="P14" s="23"/>
      <c r="Q14" s="180"/>
    </row>
    <row r="15" spans="2:26" ht="22.5" thickTop="1" thickBot="1" x14ac:dyDescent="0.35">
      <c r="B15" s="151">
        <v>45088</v>
      </c>
      <c r="C15" s="152">
        <f>'11 JUNIO'!C68</f>
        <v>25</v>
      </c>
      <c r="D15" s="152">
        <f>'11 JUNIO'!B68</f>
        <v>83</v>
      </c>
      <c r="E15" s="159"/>
      <c r="F15" s="154" t="s">
        <v>273</v>
      </c>
      <c r="G15" s="155"/>
      <c r="H15" s="156">
        <f>'11 JUNIO'!G68</f>
        <v>12725754</v>
      </c>
      <c r="I15" s="157"/>
      <c r="J15" s="158"/>
      <c r="K15" s="384"/>
    </row>
    <row r="16" spans="2:26" ht="22.5" thickTop="1" thickBot="1" x14ac:dyDescent="0.35">
      <c r="B16" s="151">
        <v>45088</v>
      </c>
      <c r="C16" s="152">
        <f>'11 JUNIO'!U29</f>
        <v>4</v>
      </c>
      <c r="D16" s="152">
        <f>'11 JUNIO'!T29</f>
        <v>16</v>
      </c>
      <c r="E16" s="159"/>
      <c r="F16" s="160" t="s">
        <v>274</v>
      </c>
      <c r="G16" s="155"/>
      <c r="H16" s="156">
        <f>'11 JUNIO'!Y29</f>
        <v>3451723</v>
      </c>
      <c r="I16" s="157"/>
      <c r="J16" s="158"/>
      <c r="K16" s="384"/>
      <c r="L16" s="161"/>
      <c r="P16" s="113"/>
    </row>
    <row r="17" spans="2:20" ht="47.1" customHeight="1" thickTop="1" thickBot="1" x14ac:dyDescent="0.4">
      <c r="B17" s="151">
        <v>45088</v>
      </c>
      <c r="C17" s="152">
        <f>'11 JUNIO'!L26</f>
        <v>5</v>
      </c>
      <c r="D17" s="152">
        <f>'11 JUNIO'!K26</f>
        <v>14</v>
      </c>
      <c r="E17" s="159"/>
      <c r="F17" s="160" t="s">
        <v>275</v>
      </c>
      <c r="G17" s="155"/>
      <c r="H17" s="156">
        <f>'11 JUNIO'!P26</f>
        <v>2031991</v>
      </c>
      <c r="I17" s="157"/>
      <c r="J17" s="158"/>
      <c r="K17" s="384"/>
      <c r="L17" s="161"/>
      <c r="S17" s="181"/>
    </row>
    <row r="18" spans="2:20" ht="27" thickTop="1" thickBot="1" x14ac:dyDescent="0.4">
      <c r="B18" s="151"/>
      <c r="C18" s="152"/>
      <c r="D18" s="152"/>
      <c r="E18" s="159"/>
      <c r="F18" s="160"/>
      <c r="G18" s="155"/>
      <c r="H18" s="156"/>
      <c r="I18" s="157"/>
      <c r="J18" s="158"/>
      <c r="K18" s="388"/>
      <c r="L18" s="164" t="s">
        <v>276</v>
      </c>
      <c r="M18" s="165" t="s">
        <v>277</v>
      </c>
      <c r="S18" s="181"/>
    </row>
    <row r="19" spans="2:20" ht="27" thickTop="1" thickBot="1" x14ac:dyDescent="0.4">
      <c r="B19" s="151"/>
      <c r="C19" s="152"/>
      <c r="D19" s="152"/>
      <c r="E19" s="159"/>
      <c r="F19" s="160"/>
      <c r="G19" s="155"/>
      <c r="H19" s="156"/>
      <c r="I19" s="157"/>
      <c r="J19" s="158"/>
      <c r="K19" s="388"/>
      <c r="L19" s="389">
        <f>SUM(H15:I20)</f>
        <v>18209468</v>
      </c>
      <c r="M19" s="391"/>
      <c r="P19" s="162"/>
      <c r="S19" s="181"/>
    </row>
    <row r="20" spans="2:20" ht="27" thickTop="1" thickBot="1" x14ac:dyDescent="0.4">
      <c r="B20" s="151"/>
      <c r="C20" s="152"/>
      <c r="D20" s="152"/>
      <c r="E20" s="159"/>
      <c r="F20" s="160"/>
      <c r="G20" s="155"/>
      <c r="H20" s="156"/>
      <c r="I20" s="157"/>
      <c r="J20" s="182"/>
      <c r="K20" s="388"/>
      <c r="L20" s="390"/>
      <c r="M20" s="392"/>
      <c r="N20" s="113"/>
      <c r="O20" s="82"/>
      <c r="P20" s="113"/>
      <c r="S20" s="181"/>
    </row>
    <row r="21" spans="2:20" ht="27" thickTop="1" thickBot="1" x14ac:dyDescent="0.4">
      <c r="B21" s="151" t="s">
        <v>279</v>
      </c>
      <c r="C21" s="152">
        <f>SUM(C15:C20)</f>
        <v>34</v>
      </c>
      <c r="D21" s="152">
        <f>SUM(D15:D20)</f>
        <v>113</v>
      </c>
      <c r="E21" s="159">
        <f>SUM(E15:E20)</f>
        <v>0</v>
      </c>
      <c r="F21" s="160"/>
      <c r="G21" s="155"/>
      <c r="H21" s="169">
        <f>SUM(H15:H20)</f>
        <v>18209468</v>
      </c>
      <c r="I21" s="169"/>
      <c r="J21" s="183">
        <v>0</v>
      </c>
      <c r="K21" s="388"/>
      <c r="L21" s="172"/>
      <c r="M21" s="23" t="s">
        <v>272</v>
      </c>
      <c r="N21" s="113"/>
      <c r="S21" s="181"/>
    </row>
    <row r="22" spans="2:20" ht="6.75" customHeight="1" thickTop="1" thickBot="1" x14ac:dyDescent="0.4">
      <c r="B22" s="145"/>
      <c r="C22" s="152"/>
      <c r="D22" s="152"/>
      <c r="E22" s="146"/>
      <c r="F22" s="147"/>
      <c r="G22" s="148"/>
      <c r="H22" s="184"/>
      <c r="I22" s="184"/>
      <c r="J22" s="185"/>
      <c r="K22" s="185"/>
      <c r="L22" s="172"/>
      <c r="M22" s="23"/>
      <c r="S22" s="186"/>
    </row>
    <row r="23" spans="2:20" ht="21.95" customHeight="1" thickTop="1" thickBot="1" x14ac:dyDescent="0.4">
      <c r="B23" s="382" t="s">
        <v>271</v>
      </c>
      <c r="C23" s="382"/>
      <c r="D23" s="382"/>
      <c r="E23" s="382"/>
      <c r="F23" s="382"/>
      <c r="G23" s="382"/>
      <c r="H23" s="382"/>
      <c r="I23" s="382"/>
      <c r="J23" s="383"/>
      <c r="K23" s="384"/>
      <c r="L23" s="179"/>
      <c r="N23" s="23"/>
      <c r="O23" s="23"/>
      <c r="P23" s="23"/>
      <c r="Q23" s="180"/>
      <c r="S23" s="187"/>
    </row>
    <row r="24" spans="2:20" ht="27" thickTop="1" thickBot="1" x14ac:dyDescent="0.4">
      <c r="B24" s="151">
        <v>45089</v>
      </c>
      <c r="C24" s="188">
        <f>'12 JUNIO'!C68</f>
        <v>20</v>
      </c>
      <c r="D24" s="153">
        <f>'12 JUNIO'!B68</f>
        <v>66</v>
      </c>
      <c r="E24" s="159"/>
      <c r="F24" s="154" t="s">
        <v>273</v>
      </c>
      <c r="G24" s="155"/>
      <c r="H24" s="156">
        <f>'12 JUNIO'!G68</f>
        <v>10373043</v>
      </c>
      <c r="I24" s="157"/>
      <c r="J24" s="158"/>
      <c r="K24" s="384"/>
      <c r="S24" s="186"/>
    </row>
    <row r="25" spans="2:20" ht="31.5" thickTop="1" thickBot="1" x14ac:dyDescent="0.45">
      <c r="B25" s="151">
        <v>45089</v>
      </c>
      <c r="C25" s="163">
        <f>'12 JUNIO'!U26</f>
        <v>4</v>
      </c>
      <c r="D25" s="163">
        <f>'12 JUNIO'!T26</f>
        <v>18</v>
      </c>
      <c r="E25" s="159"/>
      <c r="F25" s="160" t="s">
        <v>274</v>
      </c>
      <c r="G25" s="155"/>
      <c r="H25" s="156">
        <f>'12 JUNIO'!Y26</f>
        <v>3558877</v>
      </c>
      <c r="I25" s="157"/>
      <c r="J25" s="158"/>
      <c r="K25" s="384"/>
      <c r="L25" s="161"/>
      <c r="P25" s="113"/>
      <c r="S25" s="186"/>
      <c r="T25" s="189"/>
    </row>
    <row r="26" spans="2:20" ht="42.6" customHeight="1" thickTop="1" thickBot="1" x14ac:dyDescent="0.5">
      <c r="B26" s="151">
        <v>45089</v>
      </c>
      <c r="C26" s="163">
        <f>'12 JUNIO'!L26</f>
        <v>4</v>
      </c>
      <c r="D26" s="163">
        <f>'12 JUNIO'!K26</f>
        <v>11</v>
      </c>
      <c r="E26" s="159"/>
      <c r="F26" s="160" t="s">
        <v>275</v>
      </c>
      <c r="G26" s="155"/>
      <c r="H26" s="156">
        <f>'12 JUNIO'!P26</f>
        <v>1699240</v>
      </c>
      <c r="I26" s="157"/>
      <c r="J26" s="158"/>
      <c r="K26" s="384"/>
      <c r="L26" s="161"/>
      <c r="T26" s="190"/>
    </row>
    <row r="27" spans="2:20" ht="27" thickTop="1" thickBot="1" x14ac:dyDescent="0.4">
      <c r="B27" s="191"/>
      <c r="C27" s="163"/>
      <c r="D27" s="163"/>
      <c r="E27" s="159"/>
      <c r="F27" s="160"/>
      <c r="G27" s="155"/>
      <c r="H27" s="156"/>
      <c r="I27" s="157"/>
      <c r="J27" s="158"/>
      <c r="K27" s="388"/>
      <c r="L27" s="164" t="s">
        <v>276</v>
      </c>
      <c r="M27" s="165" t="s">
        <v>277</v>
      </c>
      <c r="S27" s="186"/>
    </row>
    <row r="28" spans="2:20" ht="22.5" thickTop="1" thickBot="1" x14ac:dyDescent="0.35">
      <c r="B28" s="191"/>
      <c r="C28" s="163"/>
      <c r="D28" s="163"/>
      <c r="E28" s="159"/>
      <c r="F28" s="160"/>
      <c r="G28" s="155"/>
      <c r="H28" s="156"/>
      <c r="I28" s="157"/>
      <c r="J28" s="158"/>
      <c r="K28" s="388"/>
      <c r="L28" s="389">
        <f>SUM(H24:I29)</f>
        <v>15631160</v>
      </c>
      <c r="M28" s="391"/>
      <c r="P28" s="162"/>
    </row>
    <row r="29" spans="2:20" ht="22.5" thickTop="1" thickBot="1" x14ac:dyDescent="0.35">
      <c r="B29" s="191"/>
      <c r="C29" s="163"/>
      <c r="D29" s="163"/>
      <c r="E29" s="159"/>
      <c r="F29" s="160"/>
      <c r="G29" s="155"/>
      <c r="H29" s="156"/>
      <c r="I29" s="157"/>
      <c r="J29" s="182"/>
      <c r="K29" s="388"/>
      <c r="L29" s="390"/>
      <c r="M29" s="392"/>
      <c r="N29" s="113"/>
      <c r="O29" s="82"/>
      <c r="P29" s="113"/>
    </row>
    <row r="30" spans="2:20" ht="22.5" thickTop="1" thickBot="1" x14ac:dyDescent="0.35">
      <c r="B30" s="151" t="s">
        <v>45</v>
      </c>
      <c r="C30" s="163">
        <f>SUM(C24:C29)</f>
        <v>28</v>
      </c>
      <c r="D30" s="163">
        <f>SUM(D24:D29)</f>
        <v>95</v>
      </c>
      <c r="E30" s="159">
        <f>SUM(E24:E29)</f>
        <v>0</v>
      </c>
      <c r="F30" s="160"/>
      <c r="G30" s="155"/>
      <c r="H30" s="169">
        <f>SUM(H24:H29)</f>
        <v>15631160</v>
      </c>
      <c r="I30" s="169">
        <f>SUM(I24:I29)</f>
        <v>0</v>
      </c>
      <c r="J30" s="183">
        <v>0</v>
      </c>
      <c r="K30" s="388"/>
      <c r="L30" s="172"/>
      <c r="M30" s="23" t="s">
        <v>272</v>
      </c>
      <c r="N30" s="113"/>
    </row>
    <row r="31" spans="2:20" ht="18.600000000000001" customHeight="1" thickTop="1" thickBot="1" x14ac:dyDescent="0.35">
      <c r="B31" s="192"/>
      <c r="C31" s="193"/>
      <c r="D31" s="193"/>
      <c r="E31" s="194"/>
      <c r="F31" s="195"/>
      <c r="G31" s="196"/>
      <c r="H31" s="197"/>
      <c r="I31" s="197"/>
      <c r="J31" s="198"/>
      <c r="K31" s="199"/>
      <c r="L31" s="172"/>
      <c r="M31" s="23"/>
      <c r="N31" s="113"/>
    </row>
    <row r="32" spans="2:20" ht="21.95" customHeight="1" thickTop="1" thickBot="1" x14ac:dyDescent="0.4">
      <c r="B32" s="382" t="s">
        <v>271</v>
      </c>
      <c r="C32" s="382"/>
      <c r="D32" s="382"/>
      <c r="E32" s="382"/>
      <c r="F32" s="382"/>
      <c r="G32" s="382"/>
      <c r="H32" s="382"/>
      <c r="I32" s="382"/>
      <c r="J32" s="383"/>
      <c r="K32" s="384"/>
      <c r="L32" s="179"/>
      <c r="N32" s="23"/>
      <c r="O32" s="23"/>
      <c r="P32" s="23"/>
      <c r="Q32" s="180"/>
      <c r="S32" s="187"/>
    </row>
    <row r="33" spans="2:20" ht="27" thickTop="1" thickBot="1" x14ac:dyDescent="0.4">
      <c r="B33" s="151">
        <v>45095</v>
      </c>
      <c r="C33" s="153">
        <f>'18 JUNIO'!C68</f>
        <v>25</v>
      </c>
      <c r="D33" s="153">
        <f>'18 JUNIO'!B68</f>
        <v>81</v>
      </c>
      <c r="E33" s="159"/>
      <c r="F33" s="154" t="s">
        <v>273</v>
      </c>
      <c r="G33" s="155"/>
      <c r="H33" s="156">
        <f>'18 JUNIO'!G68</f>
        <v>12589658</v>
      </c>
      <c r="I33" s="157"/>
      <c r="J33" s="158"/>
      <c r="K33" s="384"/>
      <c r="S33" s="186"/>
    </row>
    <row r="34" spans="2:20" ht="31.5" thickTop="1" thickBot="1" x14ac:dyDescent="0.45">
      <c r="B34" s="151">
        <v>45095</v>
      </c>
      <c r="C34" s="163">
        <f>'18 JUNIO'!U29</f>
        <v>4</v>
      </c>
      <c r="D34" s="163">
        <f>'18 JUNIO'!T29</f>
        <v>15</v>
      </c>
      <c r="E34" s="159"/>
      <c r="F34" s="160" t="s">
        <v>274</v>
      </c>
      <c r="G34" s="155"/>
      <c r="H34" s="156">
        <f>'18 JUNIO'!Y29</f>
        <v>3024912</v>
      </c>
      <c r="I34" s="157"/>
      <c r="J34" s="158"/>
      <c r="K34" s="384"/>
      <c r="L34" s="161"/>
      <c r="P34" s="113"/>
      <c r="S34" s="186"/>
      <c r="T34" s="189"/>
    </row>
    <row r="35" spans="2:20" ht="42.6" customHeight="1" thickTop="1" thickBot="1" x14ac:dyDescent="0.5">
      <c r="B35" s="151">
        <v>45095</v>
      </c>
      <c r="C35" s="163">
        <f>'18 JUNIO'!L26</f>
        <v>4</v>
      </c>
      <c r="D35" s="163">
        <f>'18 JUNIO'!K26</f>
        <v>11</v>
      </c>
      <c r="E35" s="159"/>
      <c r="F35" s="160" t="s">
        <v>275</v>
      </c>
      <c r="G35" s="155"/>
      <c r="H35" s="156">
        <f>'18 JUNIO'!P26</f>
        <v>1627647</v>
      </c>
      <c r="I35" s="157"/>
      <c r="J35" s="158"/>
      <c r="K35" s="384"/>
      <c r="L35" s="161"/>
      <c r="T35" s="190"/>
    </row>
    <row r="36" spans="2:20" ht="27" thickTop="1" thickBot="1" x14ac:dyDescent="0.4">
      <c r="B36" s="151"/>
      <c r="C36" s="163"/>
      <c r="D36" s="163"/>
      <c r="E36" s="159"/>
      <c r="F36" s="160"/>
      <c r="G36" s="155"/>
      <c r="H36" s="156"/>
      <c r="I36" s="157"/>
      <c r="J36" s="158"/>
      <c r="K36" s="388"/>
      <c r="L36" s="164" t="s">
        <v>276</v>
      </c>
      <c r="M36" s="165" t="s">
        <v>277</v>
      </c>
      <c r="S36" s="186"/>
    </row>
    <row r="37" spans="2:20" ht="22.5" thickTop="1" thickBot="1" x14ac:dyDescent="0.35">
      <c r="B37" s="151"/>
      <c r="C37" s="163"/>
      <c r="D37" s="163"/>
      <c r="E37" s="159"/>
      <c r="F37" s="160"/>
      <c r="G37" s="155"/>
      <c r="H37" s="156"/>
      <c r="I37" s="157"/>
      <c r="J37" s="158"/>
      <c r="K37" s="388"/>
      <c r="L37" s="389">
        <f>SUM(H33:I38)</f>
        <v>17242217</v>
      </c>
      <c r="M37" s="391"/>
      <c r="P37" s="162"/>
    </row>
    <row r="38" spans="2:20" ht="22.5" thickTop="1" thickBot="1" x14ac:dyDescent="0.35">
      <c r="B38" s="151"/>
      <c r="C38" s="163"/>
      <c r="D38" s="163"/>
      <c r="E38" s="159"/>
      <c r="F38" s="160"/>
      <c r="G38" s="155"/>
      <c r="H38" s="156"/>
      <c r="I38" s="157"/>
      <c r="J38" s="182"/>
      <c r="K38" s="388"/>
      <c r="L38" s="390"/>
      <c r="M38" s="392"/>
      <c r="N38" s="113"/>
      <c r="O38" s="82"/>
      <c r="P38" s="113"/>
    </row>
    <row r="39" spans="2:20" ht="22.5" thickTop="1" thickBot="1" x14ac:dyDescent="0.35">
      <c r="B39" s="151" t="s">
        <v>45</v>
      </c>
      <c r="C39" s="163">
        <f>SUM(C33:C38)</f>
        <v>33</v>
      </c>
      <c r="D39" s="163">
        <f>SUM(D33:D38)</f>
        <v>107</v>
      </c>
      <c r="E39" s="159">
        <f>SUM(E33:E38)</f>
        <v>0</v>
      </c>
      <c r="F39" s="160"/>
      <c r="G39" s="155"/>
      <c r="H39" s="169">
        <f>SUM(H33:H38)</f>
        <v>17242217</v>
      </c>
      <c r="I39" s="169">
        <f>SUM(I33:I38)</f>
        <v>0</v>
      </c>
      <c r="J39" s="183">
        <v>0</v>
      </c>
      <c r="K39" s="388"/>
      <c r="L39" s="172"/>
      <c r="M39" s="23" t="s">
        <v>272</v>
      </c>
      <c r="N39" s="113"/>
    </row>
    <row r="40" spans="2:20" ht="18.600000000000001" customHeight="1" thickTop="1" thickBot="1" x14ac:dyDescent="0.35">
      <c r="B40" s="192"/>
      <c r="C40" s="193"/>
      <c r="D40" s="193"/>
      <c r="E40" s="194"/>
      <c r="F40" s="195"/>
      <c r="G40" s="196"/>
      <c r="H40" s="197"/>
      <c r="I40" s="197"/>
      <c r="J40" s="198"/>
      <c r="K40" s="199"/>
      <c r="L40" s="172"/>
      <c r="M40" s="23"/>
      <c r="N40" s="113"/>
    </row>
    <row r="41" spans="2:20" ht="21.95" customHeight="1" thickTop="1" thickBot="1" x14ac:dyDescent="0.4">
      <c r="B41" s="382" t="s">
        <v>271</v>
      </c>
      <c r="C41" s="382"/>
      <c r="D41" s="382"/>
      <c r="E41" s="382"/>
      <c r="F41" s="382"/>
      <c r="G41" s="382"/>
      <c r="H41" s="382"/>
      <c r="I41" s="382"/>
      <c r="J41" s="383"/>
      <c r="K41" s="384"/>
      <c r="L41" s="179"/>
      <c r="N41" s="23"/>
      <c r="O41" s="23"/>
      <c r="P41" s="23"/>
      <c r="Q41" s="180"/>
      <c r="S41" s="187"/>
    </row>
    <row r="42" spans="2:20" ht="27" thickTop="1" thickBot="1" x14ac:dyDescent="0.4">
      <c r="B42" s="191">
        <v>45096</v>
      </c>
      <c r="C42" s="153">
        <f>'19 JUNIO'!C68</f>
        <v>20</v>
      </c>
      <c r="D42" s="153">
        <f>'19 JUNIO'!B68</f>
        <v>65</v>
      </c>
      <c r="E42" s="159"/>
      <c r="F42" s="154" t="s">
        <v>273</v>
      </c>
      <c r="G42" s="155"/>
      <c r="H42" s="156">
        <f>'19 JUNIO'!G68</f>
        <v>10306765</v>
      </c>
      <c r="I42" s="157"/>
      <c r="J42" s="158"/>
      <c r="K42" s="384"/>
      <c r="S42" s="186"/>
    </row>
    <row r="43" spans="2:20" ht="31.5" thickTop="1" thickBot="1" x14ac:dyDescent="0.45">
      <c r="B43" s="191">
        <v>45096</v>
      </c>
      <c r="C43" s="163">
        <f>'19 JUNIO'!U26</f>
        <v>4</v>
      </c>
      <c r="D43" s="163">
        <f>'19 JUNIO'!T26</f>
        <v>16</v>
      </c>
      <c r="E43" s="159"/>
      <c r="F43" s="160" t="s">
        <v>274</v>
      </c>
      <c r="G43" s="155"/>
      <c r="H43" s="156">
        <f>'19 JUNIO'!Y26</f>
        <v>3451723</v>
      </c>
      <c r="I43" s="157"/>
      <c r="J43" s="158"/>
      <c r="K43" s="384"/>
      <c r="L43" s="161"/>
      <c r="P43" s="113"/>
      <c r="S43" s="186"/>
      <c r="T43" s="189"/>
    </row>
    <row r="44" spans="2:20" ht="42.6" customHeight="1" thickTop="1" thickBot="1" x14ac:dyDescent="0.5">
      <c r="B44" s="191">
        <v>45096</v>
      </c>
      <c r="C44" s="163">
        <f>'19 JUNIO'!L26</f>
        <v>4</v>
      </c>
      <c r="D44" s="163">
        <f>'19 JUNIO'!K26</f>
        <v>11</v>
      </c>
      <c r="E44" s="159"/>
      <c r="F44" s="160" t="s">
        <v>275</v>
      </c>
      <c r="G44" s="155"/>
      <c r="H44" s="156">
        <f>'19 JUNIO'!P26</f>
        <v>1767288</v>
      </c>
      <c r="I44" s="157"/>
      <c r="J44" s="158"/>
      <c r="K44" s="384"/>
      <c r="L44" s="161"/>
      <c r="T44" s="190"/>
    </row>
    <row r="45" spans="2:20" ht="27" thickTop="1" thickBot="1" x14ac:dyDescent="0.4">
      <c r="B45" s="151"/>
      <c r="C45" s="163"/>
      <c r="D45" s="163"/>
      <c r="E45" s="159"/>
      <c r="F45" s="160"/>
      <c r="G45" s="155"/>
      <c r="H45" s="156"/>
      <c r="I45" s="157"/>
      <c r="J45" s="158"/>
      <c r="K45" s="388"/>
      <c r="L45" s="164" t="s">
        <v>276</v>
      </c>
      <c r="M45" s="165" t="s">
        <v>277</v>
      </c>
      <c r="S45" s="186"/>
    </row>
    <row r="46" spans="2:20" ht="22.5" thickTop="1" thickBot="1" x14ac:dyDescent="0.35">
      <c r="B46" s="151"/>
      <c r="C46" s="163"/>
      <c r="D46" s="163"/>
      <c r="E46" s="159"/>
      <c r="F46" s="160"/>
      <c r="G46" s="155"/>
      <c r="H46" s="156"/>
      <c r="I46" s="157"/>
      <c r="J46" s="158"/>
      <c r="K46" s="388"/>
      <c r="L46" s="389">
        <f>SUM(H42:I47)</f>
        <v>15525776</v>
      </c>
      <c r="M46" s="391"/>
      <c r="P46" s="162"/>
    </row>
    <row r="47" spans="2:20" ht="22.5" thickTop="1" thickBot="1" x14ac:dyDescent="0.35">
      <c r="B47" s="151"/>
      <c r="C47" s="163"/>
      <c r="D47" s="163"/>
      <c r="E47" s="159"/>
      <c r="F47" s="160"/>
      <c r="G47" s="155"/>
      <c r="H47" s="156"/>
      <c r="I47" s="157"/>
      <c r="J47" s="182"/>
      <c r="K47" s="388"/>
      <c r="L47" s="390"/>
      <c r="M47" s="392"/>
      <c r="N47" s="113"/>
      <c r="O47" s="82"/>
      <c r="P47" s="113"/>
    </row>
    <row r="48" spans="2:20" ht="22.5" thickTop="1" thickBot="1" x14ac:dyDescent="0.35">
      <c r="B48" s="151" t="s">
        <v>45</v>
      </c>
      <c r="C48" s="163">
        <f>SUM(C42:C47)</f>
        <v>28</v>
      </c>
      <c r="D48" s="163">
        <f>SUM(D42:D47)</f>
        <v>92</v>
      </c>
      <c r="E48" s="159">
        <f>SUM(E42:E47)</f>
        <v>0</v>
      </c>
      <c r="F48" s="160"/>
      <c r="G48" s="155"/>
      <c r="H48" s="169">
        <f>SUM(H42:H47)</f>
        <v>15525776</v>
      </c>
      <c r="I48" s="169">
        <f>SUM(I42:I47)</f>
        <v>0</v>
      </c>
      <c r="J48" s="183">
        <v>0</v>
      </c>
      <c r="K48" s="388"/>
      <c r="L48" s="172"/>
      <c r="M48" s="23" t="s">
        <v>272</v>
      </c>
      <c r="N48" s="113"/>
    </row>
    <row r="49" spans="2:17" ht="18.600000000000001" customHeight="1" thickTop="1" thickBot="1" x14ac:dyDescent="0.35">
      <c r="B49" s="192"/>
      <c r="C49" s="193"/>
      <c r="D49" s="193"/>
      <c r="E49" s="194"/>
      <c r="F49" s="195"/>
      <c r="G49" s="196"/>
      <c r="H49" s="197"/>
      <c r="I49" s="197"/>
      <c r="J49" s="198"/>
      <c r="K49" s="199"/>
      <c r="L49" s="172"/>
      <c r="M49" s="23"/>
      <c r="N49" s="113"/>
    </row>
    <row r="50" spans="2:17" ht="21.75" customHeight="1" thickTop="1" thickBot="1" x14ac:dyDescent="0.25">
      <c r="B50" s="383" t="s">
        <v>271</v>
      </c>
      <c r="C50" s="393"/>
      <c r="D50" s="393"/>
      <c r="E50" s="393"/>
      <c r="F50" s="393"/>
      <c r="G50" s="393"/>
      <c r="H50" s="393"/>
      <c r="I50" s="393"/>
      <c r="J50" s="394"/>
      <c r="K50" s="395"/>
      <c r="L50" s="179"/>
      <c r="N50" s="23"/>
      <c r="O50" s="23"/>
      <c r="P50" s="23"/>
      <c r="Q50" s="180"/>
    </row>
    <row r="51" spans="2:17" ht="22.5" thickTop="1" thickBot="1" x14ac:dyDescent="0.35">
      <c r="B51" s="191">
        <v>45102</v>
      </c>
      <c r="C51" s="153">
        <f>'25 JUNIO'!C68</f>
        <v>24</v>
      </c>
      <c r="D51" s="153">
        <f>'25 JUNIO'!B68</f>
        <v>74</v>
      </c>
      <c r="E51" s="159"/>
      <c r="F51" s="154" t="s">
        <v>273</v>
      </c>
      <c r="G51" s="155"/>
      <c r="H51" s="156">
        <f>'25 JUNIO'!G68</f>
        <v>11889290</v>
      </c>
      <c r="I51" s="157"/>
      <c r="J51" s="158"/>
      <c r="K51" s="396"/>
    </row>
    <row r="52" spans="2:17" ht="22.5" thickTop="1" thickBot="1" x14ac:dyDescent="0.35">
      <c r="B52" s="191">
        <v>45102</v>
      </c>
      <c r="C52" s="163">
        <f>'25 JUNIO'!U29</f>
        <v>4</v>
      </c>
      <c r="D52" s="163">
        <f>'25 JUNIO'!T29</f>
        <v>17</v>
      </c>
      <c r="E52" s="159"/>
      <c r="F52" s="160" t="s">
        <v>274</v>
      </c>
      <c r="G52" s="155"/>
      <c r="H52" s="156">
        <f>'25 JUNIO'!Y29</f>
        <v>4073754</v>
      </c>
      <c r="I52" s="157"/>
      <c r="J52" s="158"/>
      <c r="K52" s="396"/>
      <c r="L52" s="161"/>
      <c r="P52" s="113"/>
    </row>
    <row r="53" spans="2:17" ht="52.35" customHeight="1" thickTop="1" thickBot="1" x14ac:dyDescent="0.35">
      <c r="B53" s="191">
        <v>45102</v>
      </c>
      <c r="C53" s="163">
        <f>'25 JUNIO'!L26</f>
        <v>5</v>
      </c>
      <c r="D53" s="163">
        <f>'25 JUNIO'!K26</f>
        <v>13</v>
      </c>
      <c r="E53" s="159"/>
      <c r="F53" s="160" t="s">
        <v>275</v>
      </c>
      <c r="G53" s="155"/>
      <c r="H53" s="156">
        <f>'25 JUNIO'!P26</f>
        <v>1570707</v>
      </c>
      <c r="I53" s="157"/>
      <c r="J53" s="158"/>
      <c r="K53" s="397"/>
      <c r="L53" s="161"/>
    </row>
    <row r="54" spans="2:17" ht="22.5" thickTop="1" thickBot="1" x14ac:dyDescent="0.35">
      <c r="B54" s="151"/>
      <c r="C54" s="163"/>
      <c r="D54" s="163"/>
      <c r="E54" s="159"/>
      <c r="F54" s="160"/>
      <c r="G54" s="155"/>
      <c r="H54" s="156"/>
      <c r="I54" s="157"/>
      <c r="J54" s="158"/>
      <c r="K54" s="398"/>
      <c r="L54" s="164" t="s">
        <v>276</v>
      </c>
      <c r="M54" s="165" t="s">
        <v>277</v>
      </c>
    </row>
    <row r="55" spans="2:17" ht="22.35" customHeight="1" thickTop="1" thickBot="1" x14ac:dyDescent="0.35">
      <c r="B55" s="151"/>
      <c r="C55" s="163"/>
      <c r="D55" s="163"/>
      <c r="E55" s="159"/>
      <c r="F55" s="160"/>
      <c r="G55" s="155"/>
      <c r="H55" s="156"/>
      <c r="I55" s="157"/>
      <c r="J55" s="158"/>
      <c r="K55" s="399"/>
      <c r="L55" s="401">
        <f>SUM(H51:I56)</f>
        <v>17533751</v>
      </c>
      <c r="M55" s="391"/>
      <c r="P55" s="162"/>
    </row>
    <row r="56" spans="2:17" ht="22.35" customHeight="1" thickTop="1" thickBot="1" x14ac:dyDescent="0.35">
      <c r="B56" s="151"/>
      <c r="C56" s="163"/>
      <c r="D56" s="163"/>
      <c r="E56" s="159"/>
      <c r="F56" s="160"/>
      <c r="G56" s="155"/>
      <c r="H56" s="156"/>
      <c r="I56" s="157"/>
      <c r="J56" s="182"/>
      <c r="K56" s="399"/>
      <c r="L56" s="402"/>
      <c r="M56" s="392"/>
      <c r="N56" s="113"/>
      <c r="O56" s="82"/>
      <c r="P56" s="113"/>
    </row>
    <row r="57" spans="2:17" ht="22.5" thickTop="1" thickBot="1" x14ac:dyDescent="0.35">
      <c r="B57" s="151" t="s">
        <v>45</v>
      </c>
      <c r="C57" s="163">
        <f>SUM(C51:C56)</f>
        <v>33</v>
      </c>
      <c r="D57" s="163">
        <f>SUM(D51:D56)</f>
        <v>104</v>
      </c>
      <c r="E57" s="159">
        <f>SUM(E51:E56)</f>
        <v>0</v>
      </c>
      <c r="F57" s="160"/>
      <c r="G57" s="155"/>
      <c r="H57" s="169">
        <f>SUM(H51:H56)</f>
        <v>17533751</v>
      </c>
      <c r="I57" s="169">
        <f>SUM(I51:I56)</f>
        <v>0</v>
      </c>
      <c r="J57" s="183">
        <v>0</v>
      </c>
      <c r="K57" s="400"/>
      <c r="L57" s="172"/>
      <c r="M57" s="23" t="s">
        <v>272</v>
      </c>
      <c r="N57" s="113"/>
    </row>
    <row r="58" spans="2:17" ht="14.1" customHeight="1" thickTop="1" thickBot="1" x14ac:dyDescent="0.35">
      <c r="B58" s="192"/>
      <c r="C58" s="193"/>
      <c r="D58" s="193"/>
      <c r="E58" s="194"/>
      <c r="F58" s="195"/>
      <c r="G58" s="196"/>
      <c r="H58" s="197"/>
      <c r="I58" s="197"/>
      <c r="J58" s="198"/>
      <c r="K58" s="199"/>
      <c r="L58" s="172"/>
      <c r="M58" s="23"/>
      <c r="N58" s="113"/>
    </row>
    <row r="59" spans="2:17" ht="21.95" customHeight="1" thickTop="1" thickBot="1" x14ac:dyDescent="0.25">
      <c r="B59" s="383" t="s">
        <v>271</v>
      </c>
      <c r="C59" s="393"/>
      <c r="D59" s="393"/>
      <c r="E59" s="393"/>
      <c r="F59" s="393"/>
      <c r="G59" s="393"/>
      <c r="H59" s="393"/>
      <c r="I59" s="393"/>
      <c r="J59" s="394"/>
      <c r="K59" s="395"/>
      <c r="L59" s="179"/>
      <c r="N59" s="23"/>
      <c r="O59" s="23"/>
      <c r="P59" s="23"/>
      <c r="Q59" s="180"/>
    </row>
    <row r="60" spans="2:17" ht="22.5" thickTop="1" thickBot="1" x14ac:dyDescent="0.35">
      <c r="B60" s="191"/>
      <c r="C60" s="153"/>
      <c r="D60" s="153"/>
      <c r="E60" s="159"/>
      <c r="F60" s="154"/>
      <c r="G60" s="155"/>
      <c r="H60" s="156"/>
      <c r="I60" s="157"/>
      <c r="J60" s="158"/>
      <c r="K60" s="396"/>
    </row>
    <row r="61" spans="2:17" ht="22.5" thickTop="1" thickBot="1" x14ac:dyDescent="0.35">
      <c r="B61" s="191"/>
      <c r="C61" s="163"/>
      <c r="D61" s="153"/>
      <c r="E61" s="159"/>
      <c r="F61" s="160"/>
      <c r="G61" s="155"/>
      <c r="H61" s="156"/>
      <c r="I61" s="157"/>
      <c r="J61" s="158"/>
      <c r="K61" s="396"/>
      <c r="L61" s="161"/>
      <c r="P61" s="113"/>
    </row>
    <row r="62" spans="2:17" ht="52.35" customHeight="1" thickTop="1" thickBot="1" x14ac:dyDescent="0.35">
      <c r="B62" s="191"/>
      <c r="C62" s="163"/>
      <c r="D62" s="163"/>
      <c r="E62" s="159"/>
      <c r="F62" s="160"/>
      <c r="G62" s="155"/>
      <c r="H62" s="156"/>
      <c r="I62" s="157"/>
      <c r="J62" s="158"/>
      <c r="K62" s="397"/>
      <c r="L62" s="161"/>
    </row>
    <row r="63" spans="2:17" ht="22.5" thickTop="1" thickBot="1" x14ac:dyDescent="0.35">
      <c r="B63" s="151"/>
      <c r="C63" s="163"/>
      <c r="D63" s="163"/>
      <c r="E63" s="159"/>
      <c r="F63" s="160"/>
      <c r="G63" s="155"/>
      <c r="H63" s="156"/>
      <c r="I63" s="157"/>
      <c r="J63" s="158"/>
      <c r="K63" s="398"/>
      <c r="L63" s="164" t="s">
        <v>276</v>
      </c>
      <c r="M63" s="165" t="s">
        <v>277</v>
      </c>
    </row>
    <row r="64" spans="2:17" ht="22.35" customHeight="1" thickTop="1" thickBot="1" x14ac:dyDescent="0.35">
      <c r="B64" s="151"/>
      <c r="C64" s="163"/>
      <c r="D64" s="163"/>
      <c r="E64" s="159"/>
      <c r="F64" s="160"/>
      <c r="G64" s="155"/>
      <c r="H64" s="156"/>
      <c r="I64" s="157"/>
      <c r="J64" s="158"/>
      <c r="K64" s="399"/>
      <c r="L64" s="401">
        <f>SUM(H60:I65)</f>
        <v>0</v>
      </c>
      <c r="M64" s="391"/>
      <c r="P64" s="162"/>
    </row>
    <row r="65" spans="2:17" ht="22.35" customHeight="1" thickTop="1" thickBot="1" x14ac:dyDescent="0.35">
      <c r="B65" s="151"/>
      <c r="C65" s="163"/>
      <c r="D65" s="163"/>
      <c r="E65" s="159"/>
      <c r="F65" s="160"/>
      <c r="G65" s="155"/>
      <c r="H65" s="156"/>
      <c r="I65" s="157"/>
      <c r="J65" s="182"/>
      <c r="K65" s="399"/>
      <c r="L65" s="402"/>
      <c r="M65" s="392"/>
      <c r="N65" s="113"/>
      <c r="O65" s="82"/>
      <c r="P65" s="113"/>
    </row>
    <row r="66" spans="2:17" ht="22.5" thickTop="1" thickBot="1" x14ac:dyDescent="0.35">
      <c r="B66" s="151" t="s">
        <v>45</v>
      </c>
      <c r="C66" s="163">
        <f>SUM(C60:C65)</f>
        <v>0</v>
      </c>
      <c r="D66" s="163">
        <f>SUM(D60:D65)</f>
        <v>0</v>
      </c>
      <c r="E66" s="159">
        <f>SUM(E60:E65)</f>
        <v>0</v>
      </c>
      <c r="F66" s="160"/>
      <c r="G66" s="155"/>
      <c r="H66" s="169">
        <f>SUM(H60:H65)</f>
        <v>0</v>
      </c>
      <c r="I66" s="169">
        <f>SUM(I60:I65)</f>
        <v>0</v>
      </c>
      <c r="J66" s="183">
        <v>0</v>
      </c>
      <c r="K66" s="400"/>
      <c r="L66" s="172"/>
      <c r="M66" s="23" t="s">
        <v>272</v>
      </c>
      <c r="N66" s="113"/>
    </row>
    <row r="67" spans="2:17" ht="14.1" customHeight="1" thickTop="1" thickBot="1" x14ac:dyDescent="0.35">
      <c r="B67" s="192"/>
      <c r="C67" s="193"/>
      <c r="D67" s="193"/>
      <c r="E67" s="194"/>
      <c r="F67" s="195"/>
      <c r="G67" s="196"/>
      <c r="H67" s="197"/>
      <c r="I67" s="197"/>
      <c r="J67" s="198"/>
      <c r="K67" s="199"/>
      <c r="L67" s="172"/>
      <c r="M67" s="23"/>
      <c r="N67" s="113"/>
    </row>
    <row r="68" spans="2:17" ht="21.95" customHeight="1" thickTop="1" thickBot="1" x14ac:dyDescent="0.25">
      <c r="B68" s="383" t="s">
        <v>271</v>
      </c>
      <c r="C68" s="393"/>
      <c r="D68" s="393"/>
      <c r="E68" s="393"/>
      <c r="F68" s="393"/>
      <c r="G68" s="393"/>
      <c r="H68" s="393"/>
      <c r="I68" s="393"/>
      <c r="J68" s="394"/>
      <c r="K68" s="395"/>
      <c r="L68" s="179"/>
      <c r="N68" s="23"/>
      <c r="O68" s="23"/>
      <c r="P68" s="23"/>
      <c r="Q68" s="180"/>
    </row>
    <row r="69" spans="2:17" ht="22.5" thickTop="1" thickBot="1" x14ac:dyDescent="0.35">
      <c r="B69" s="191"/>
      <c r="C69" s="153"/>
      <c r="D69" s="153"/>
      <c r="E69" s="159"/>
      <c r="F69" s="154"/>
      <c r="G69" s="155"/>
      <c r="H69" s="156"/>
      <c r="I69" s="157"/>
      <c r="J69" s="158"/>
      <c r="K69" s="396"/>
    </row>
    <row r="70" spans="2:17" ht="22.5" thickTop="1" thickBot="1" x14ac:dyDescent="0.35">
      <c r="B70" s="191"/>
      <c r="C70" s="163"/>
      <c r="D70" s="163"/>
      <c r="E70" s="159"/>
      <c r="F70" s="160"/>
      <c r="G70" s="155"/>
      <c r="H70" s="156"/>
      <c r="I70" s="157"/>
      <c r="J70" s="158"/>
      <c r="K70" s="396"/>
      <c r="L70" s="161"/>
      <c r="P70" s="113"/>
    </row>
    <row r="71" spans="2:17" ht="52.35" customHeight="1" thickTop="1" thickBot="1" x14ac:dyDescent="0.35">
      <c r="B71" s="191"/>
      <c r="C71" s="163"/>
      <c r="D71" s="163"/>
      <c r="E71" s="159"/>
      <c r="F71" s="160"/>
      <c r="G71" s="155"/>
      <c r="H71" s="156"/>
      <c r="I71" s="157"/>
      <c r="J71" s="158"/>
      <c r="K71" s="397"/>
      <c r="L71" s="161"/>
    </row>
    <row r="72" spans="2:17" ht="22.5" thickTop="1" thickBot="1" x14ac:dyDescent="0.35">
      <c r="B72" s="151"/>
      <c r="C72" s="163"/>
      <c r="D72" s="163"/>
      <c r="E72" s="159"/>
      <c r="F72" s="160"/>
      <c r="G72" s="155"/>
      <c r="H72" s="156"/>
      <c r="I72" s="157"/>
      <c r="J72" s="158"/>
      <c r="K72" s="398"/>
      <c r="L72" s="164" t="s">
        <v>276</v>
      </c>
      <c r="M72" s="165" t="s">
        <v>277</v>
      </c>
    </row>
    <row r="73" spans="2:17" ht="22.35" customHeight="1" thickTop="1" thickBot="1" x14ac:dyDescent="0.35">
      <c r="B73" s="151"/>
      <c r="C73" s="163"/>
      <c r="D73" s="163"/>
      <c r="E73" s="159"/>
      <c r="F73" s="160"/>
      <c r="G73" s="155"/>
      <c r="H73" s="156"/>
      <c r="I73" s="157"/>
      <c r="J73" s="158"/>
      <c r="K73" s="399"/>
      <c r="L73" s="401">
        <f>SUM(H69:I74)</f>
        <v>0</v>
      </c>
      <c r="M73" s="391"/>
      <c r="P73" s="162"/>
    </row>
    <row r="74" spans="2:17" ht="22.35" customHeight="1" thickTop="1" thickBot="1" x14ac:dyDescent="0.35">
      <c r="B74" s="151"/>
      <c r="C74" s="163"/>
      <c r="D74" s="163"/>
      <c r="E74" s="159"/>
      <c r="F74" s="160"/>
      <c r="G74" s="155"/>
      <c r="H74" s="156"/>
      <c r="I74" s="157"/>
      <c r="J74" s="182"/>
      <c r="K74" s="399"/>
      <c r="L74" s="402"/>
      <c r="M74" s="392"/>
      <c r="N74" s="113"/>
      <c r="O74" s="82"/>
      <c r="P74" s="113"/>
    </row>
    <row r="75" spans="2:17" ht="22.5" thickTop="1" thickBot="1" x14ac:dyDescent="0.35">
      <c r="B75" s="151" t="s">
        <v>45</v>
      </c>
      <c r="C75" s="163">
        <f>SUM(C69:C74)</f>
        <v>0</v>
      </c>
      <c r="D75" s="163">
        <f>SUM(D69:D74)</f>
        <v>0</v>
      </c>
      <c r="E75" s="159">
        <f>SUM(E69:E74)</f>
        <v>0</v>
      </c>
      <c r="F75" s="160"/>
      <c r="G75" s="155"/>
      <c r="H75" s="169">
        <f>SUM(H69:H74)</f>
        <v>0</v>
      </c>
      <c r="I75" s="169">
        <f>SUM(I69:I74)</f>
        <v>0</v>
      </c>
      <c r="J75" s="183">
        <v>0</v>
      </c>
      <c r="K75" s="400"/>
      <c r="L75" s="172"/>
      <c r="M75" s="23" t="s">
        <v>272</v>
      </c>
      <c r="N75" s="113"/>
    </row>
    <row r="76" spans="2:17" ht="15.95" customHeight="1" thickTop="1" thickBot="1" x14ac:dyDescent="0.3">
      <c r="B76" s="145"/>
      <c r="C76" s="146"/>
      <c r="D76" s="146"/>
      <c r="E76" s="146"/>
      <c r="F76" s="147"/>
      <c r="G76" s="148"/>
      <c r="H76" s="149"/>
      <c r="I76" s="149"/>
      <c r="J76" s="200"/>
      <c r="K76" s="150"/>
      <c r="L76" s="201"/>
      <c r="M76" s="23"/>
      <c r="N76" s="202"/>
      <c r="O76" s="23"/>
      <c r="P76" s="23"/>
    </row>
    <row r="77" spans="2:17" ht="51.75" customHeight="1" thickTop="1" thickBot="1" x14ac:dyDescent="0.35">
      <c r="B77" s="203"/>
      <c r="C77" s="204"/>
      <c r="D77" s="204"/>
      <c r="E77" s="204"/>
      <c r="F77" s="205"/>
      <c r="G77" s="206"/>
      <c r="H77" s="207" t="s">
        <v>280</v>
      </c>
      <c r="I77" s="208" t="s">
        <v>281</v>
      </c>
      <c r="J77" s="208" t="s">
        <v>269</v>
      </c>
      <c r="K77" s="209"/>
      <c r="L77" s="210"/>
      <c r="M77" s="23"/>
      <c r="N77" s="202"/>
      <c r="O77" s="23"/>
      <c r="P77" s="23"/>
      <c r="Q77" s="113"/>
    </row>
    <row r="78" spans="2:17" ht="49.7" customHeight="1" thickBot="1" x14ac:dyDescent="0.45">
      <c r="B78" s="211" t="s">
        <v>45</v>
      </c>
      <c r="C78" s="212">
        <f>C21+C12+C30+C57+C48+C39</f>
        <v>190</v>
      </c>
      <c r="D78" s="212">
        <f>D21+D12+D30+D57+D48+D66+D39</f>
        <v>619</v>
      </c>
      <c r="E78" s="212">
        <f>E21+E12+E30+E57+E66+E48+E39</f>
        <v>0</v>
      </c>
      <c r="F78" s="213" t="s">
        <v>45</v>
      </c>
      <c r="G78" s="213"/>
      <c r="H78" s="214">
        <f>SUM(H12,H21,H30,H39,H48,H57,H66,H75)</f>
        <v>102149947</v>
      </c>
      <c r="I78" s="215">
        <f>I12+I21+I30+I57+I66+I48+I39</f>
        <v>0</v>
      </c>
      <c r="J78" s="215">
        <f>J12+J21+J30+J57+J66</f>
        <v>0</v>
      </c>
      <c r="K78" s="216"/>
      <c r="L78" s="217" t="s">
        <v>282</v>
      </c>
      <c r="M78" s="217" t="s">
        <v>283</v>
      </c>
      <c r="N78" s="217" t="s">
        <v>284</v>
      </c>
      <c r="O78" s="217" t="s">
        <v>285</v>
      </c>
      <c r="P78" s="23"/>
    </row>
    <row r="79" spans="2:17" ht="64.7" customHeight="1" thickBot="1" x14ac:dyDescent="0.45">
      <c r="B79" s="218"/>
      <c r="C79" s="219"/>
      <c r="D79" s="219"/>
      <c r="E79" s="220"/>
      <c r="F79" s="221" t="s">
        <v>286</v>
      </c>
      <c r="G79" s="403">
        <f>H78+I78</f>
        <v>102149947</v>
      </c>
      <c r="H79" s="404"/>
      <c r="I79" s="404"/>
      <c r="J79" s="405"/>
      <c r="K79" s="222"/>
      <c r="L79" s="223">
        <f>SUM('04 JUNIO '!M71,'11 JUNIO'!M71,'12 JUNIO'!M71,'18 JUNIO'!M71,'19 JUNIO'!M71,'25 JUNIO'!M71)</f>
        <v>29709706</v>
      </c>
      <c r="M79" s="223">
        <f>SUM('04 JUNIO '!N71,'11 JUNIO'!N71,'12 JUNIO'!N71,'18 JUNIO'!N71,'19 JUNIO'!N71,'25 JUNIO'!N71)</f>
        <v>47575575</v>
      </c>
      <c r="N79" s="223">
        <f>SUM('04 JUNIO '!O71,'11 JUNIO'!O71,'12 JUNIO'!O71,'18 JUNIO'!O71,'19 JUNIO'!O71,'25 JUNIO'!O71)</f>
        <v>24864666</v>
      </c>
      <c r="O79" s="224">
        <f>L79+M79+N79</f>
        <v>102149947</v>
      </c>
      <c r="P79" s="225"/>
      <c r="Q79" s="226"/>
    </row>
    <row r="80" spans="2:17" ht="52.5" customHeight="1" thickBot="1" x14ac:dyDescent="0.25">
      <c r="B80" s="218"/>
      <c r="C80" s="219"/>
      <c r="D80" s="219"/>
      <c r="E80" s="220"/>
      <c r="F80" s="221" t="s">
        <v>287</v>
      </c>
      <c r="G80" s="406">
        <f>K9</f>
        <v>28009396</v>
      </c>
      <c r="H80" s="407"/>
      <c r="I80" s="407"/>
      <c r="J80" s="408"/>
      <c r="K80" s="227"/>
      <c r="L80" s="3"/>
    </row>
    <row r="81" spans="2:15" ht="30" customHeight="1" thickBot="1" x14ac:dyDescent="0.25">
      <c r="B81" s="417" t="s">
        <v>288</v>
      </c>
      <c r="C81" s="418"/>
      <c r="D81" s="418"/>
      <c r="E81" s="418"/>
      <c r="F81" s="418"/>
      <c r="G81" s="418"/>
      <c r="H81" s="418"/>
      <c r="I81" s="418"/>
      <c r="J81" s="418"/>
      <c r="K81" s="418"/>
      <c r="L81" s="228" t="s">
        <v>289</v>
      </c>
      <c r="M81" s="23"/>
      <c r="N81" s="23"/>
      <c r="O81" s="23"/>
    </row>
    <row r="82" spans="2:15" ht="75" customHeight="1" x14ac:dyDescent="0.35">
      <c r="B82" s="229" t="s">
        <v>290</v>
      </c>
      <c r="C82" s="230" t="s">
        <v>291</v>
      </c>
      <c r="D82" s="230" t="s">
        <v>292</v>
      </c>
      <c r="E82" s="231" t="s">
        <v>293</v>
      </c>
      <c r="F82" s="231" t="s">
        <v>294</v>
      </c>
      <c r="G82" s="231" t="s">
        <v>295</v>
      </c>
      <c r="H82" s="231" t="s">
        <v>296</v>
      </c>
      <c r="I82" s="231" t="s">
        <v>297</v>
      </c>
      <c r="J82" s="231" t="s">
        <v>298</v>
      </c>
      <c r="K82" s="232" t="s">
        <v>299</v>
      </c>
      <c r="L82" s="233">
        <f>G80</f>
        <v>28009396</v>
      </c>
      <c r="M82" s="233"/>
      <c r="N82" s="23"/>
      <c r="O82" s="23"/>
    </row>
    <row r="83" spans="2:15" s="243" customFormat="1" ht="72.75" customHeight="1" x14ac:dyDescent="0.35">
      <c r="B83" s="234">
        <v>45078</v>
      </c>
      <c r="C83" s="235">
        <v>0.25</v>
      </c>
      <c r="D83" s="235">
        <v>0.58333333333333337</v>
      </c>
      <c r="E83" s="236" t="s">
        <v>342</v>
      </c>
      <c r="F83" s="236" t="s">
        <v>368</v>
      </c>
      <c r="G83" s="236" t="s">
        <v>300</v>
      </c>
      <c r="H83" s="236" t="s">
        <v>301</v>
      </c>
      <c r="I83" s="237" t="str">
        <f t="shared" ref="I83" si="0">+IF(J83=0,0,CONCATENATE(MID(J83,FIND("-",J83,1)+1,4),"ORAS"))</f>
        <v>09 HORAS</v>
      </c>
      <c r="J83" s="238" t="s">
        <v>154</v>
      </c>
      <c r="K83" s="239">
        <f>+IF(J83=0,0,IF(J83="","",VLOOKUP(J83,[9]PLANTILLA!$H$139:$I$191,2,0)))</f>
        <v>386383</v>
      </c>
      <c r="L83" s="240"/>
      <c r="M83" s="241"/>
      <c r="N83" s="242"/>
      <c r="O83" s="242"/>
    </row>
    <row r="84" spans="2:15" s="243" customFormat="1" ht="72.75" customHeight="1" x14ac:dyDescent="0.35">
      <c r="B84" s="234">
        <v>45078</v>
      </c>
      <c r="C84" s="235">
        <v>0.33333333333333331</v>
      </c>
      <c r="D84" s="235">
        <v>0.70833333333333337</v>
      </c>
      <c r="E84" s="236" t="s">
        <v>340</v>
      </c>
      <c r="F84" s="236" t="s">
        <v>369</v>
      </c>
      <c r="G84" s="236" t="s">
        <v>341</v>
      </c>
      <c r="H84" s="236" t="s">
        <v>301</v>
      </c>
      <c r="I84" s="237" t="str">
        <f t="shared" ref="I84:I147" si="1">+IF(J84=0,0,CONCATENATE(MID(J84,FIND("-",J84,1)+1,4),"ORAS"))</f>
        <v>08 HORAS</v>
      </c>
      <c r="J84" s="238" t="s">
        <v>251</v>
      </c>
      <c r="K84" s="239">
        <f>+IF(J84=0,0,IF(J84="","",VLOOKUP(J84,[9]PLANTILLA!$H$139:$I$191,2,0)))</f>
        <v>535770</v>
      </c>
      <c r="L84" s="244"/>
      <c r="M84" s="241"/>
      <c r="N84" s="242"/>
      <c r="O84" s="242"/>
    </row>
    <row r="85" spans="2:15" s="243" customFormat="1" ht="72.75" customHeight="1" x14ac:dyDescent="0.35">
      <c r="B85" s="234">
        <v>45079</v>
      </c>
      <c r="C85" s="235">
        <v>0.33333333333333331</v>
      </c>
      <c r="D85" s="235">
        <v>0.66666666666666663</v>
      </c>
      <c r="E85" s="236" t="s">
        <v>342</v>
      </c>
      <c r="F85" s="236" t="s">
        <v>370</v>
      </c>
      <c r="G85" s="236" t="s">
        <v>304</v>
      </c>
      <c r="H85" s="236" t="s">
        <v>305</v>
      </c>
      <c r="I85" s="237" t="str">
        <f t="shared" si="1"/>
        <v>09 HORAS</v>
      </c>
      <c r="J85" s="238" t="s">
        <v>107</v>
      </c>
      <c r="K85" s="239">
        <f>+IF(J85=0,0,IF(J85="","",VLOOKUP(J85,[9]PLANTILLA!$H$139:$I$191,2,0)))</f>
        <v>280919</v>
      </c>
      <c r="L85" s="245"/>
      <c r="M85" s="241"/>
      <c r="N85" s="242"/>
      <c r="O85" s="242"/>
    </row>
    <row r="86" spans="2:15" s="243" customFormat="1" ht="72.75" customHeight="1" x14ac:dyDescent="0.35">
      <c r="B86" s="234">
        <v>45079</v>
      </c>
      <c r="C86" s="235">
        <v>0.33333333333333331</v>
      </c>
      <c r="D86" s="235">
        <v>0.66666666666666663</v>
      </c>
      <c r="E86" s="236" t="s">
        <v>342</v>
      </c>
      <c r="F86" s="236" t="s">
        <v>370</v>
      </c>
      <c r="G86" s="236" t="s">
        <v>304</v>
      </c>
      <c r="H86" s="236" t="s">
        <v>305</v>
      </c>
      <c r="I86" s="237" t="str">
        <f t="shared" si="1"/>
        <v>08 HORAS</v>
      </c>
      <c r="J86" s="238" t="s">
        <v>249</v>
      </c>
      <c r="K86" s="239">
        <f>+IF(J86=0,0,IF(J86="","",VLOOKUP(J86,[9]PLANTILLA!$H$139:$I$191,2,0)))</f>
        <v>321462</v>
      </c>
      <c r="L86" s="246"/>
      <c r="M86" s="241"/>
      <c r="N86" s="242"/>
      <c r="O86" s="242"/>
    </row>
    <row r="87" spans="2:15" s="243" customFormat="1" ht="72.75" customHeight="1" x14ac:dyDescent="0.35">
      <c r="B87" s="234">
        <v>45080</v>
      </c>
      <c r="C87" s="235">
        <v>0.33333333333333331</v>
      </c>
      <c r="D87" s="235">
        <v>0.66666666666666663</v>
      </c>
      <c r="E87" s="236" t="s">
        <v>342</v>
      </c>
      <c r="F87" s="236" t="s">
        <v>371</v>
      </c>
      <c r="G87" s="236" t="s">
        <v>302</v>
      </c>
      <c r="H87" s="236" t="s">
        <v>303</v>
      </c>
      <c r="I87" s="237" t="str">
        <f t="shared" si="1"/>
        <v>09 HORAS</v>
      </c>
      <c r="J87" s="238" t="s">
        <v>90</v>
      </c>
      <c r="K87" s="239">
        <f>+IF(J87=0,0,IF(J87="","",VLOOKUP(J87,[9]PLANTILLA!$H$139:$I$191,2,0)))</f>
        <v>509192</v>
      </c>
      <c r="L87" s="245"/>
      <c r="M87" s="241"/>
      <c r="N87" s="242"/>
      <c r="O87" s="242"/>
    </row>
    <row r="88" spans="2:15" s="243" customFormat="1" ht="72.75" customHeight="1" x14ac:dyDescent="0.35">
      <c r="B88" s="234">
        <v>45079</v>
      </c>
      <c r="C88" s="235">
        <v>0.40625</v>
      </c>
      <c r="D88" s="235">
        <v>0.6875</v>
      </c>
      <c r="E88" s="236" t="s">
        <v>344</v>
      </c>
      <c r="F88" s="236" t="s">
        <v>370</v>
      </c>
      <c r="G88" s="236" t="s">
        <v>300</v>
      </c>
      <c r="H88" s="236" t="s">
        <v>301</v>
      </c>
      <c r="I88" s="237" t="str">
        <f t="shared" si="1"/>
        <v>09 HORAS</v>
      </c>
      <c r="J88" s="238" t="s">
        <v>162</v>
      </c>
      <c r="K88" s="239">
        <f>+IF(J88=0,0,IF(J88="","",VLOOKUP(J88,[9]PLANTILLA!$H$139:$I$191,2,0)))</f>
        <v>290841</v>
      </c>
      <c r="L88" s="245"/>
      <c r="M88" s="241"/>
      <c r="N88" s="242"/>
      <c r="O88" s="242"/>
    </row>
    <row r="89" spans="2:15" s="243" customFormat="1" ht="72.75" customHeight="1" x14ac:dyDescent="0.35">
      <c r="B89" s="234">
        <v>45084</v>
      </c>
      <c r="C89" s="235">
        <v>0.33333333333333331</v>
      </c>
      <c r="D89" s="235">
        <v>0.66666666666666663</v>
      </c>
      <c r="E89" s="236" t="s">
        <v>342</v>
      </c>
      <c r="F89" s="236" t="s">
        <v>371</v>
      </c>
      <c r="G89" s="236" t="s">
        <v>304</v>
      </c>
      <c r="H89" s="236" t="s">
        <v>305</v>
      </c>
      <c r="I89" s="237" t="str">
        <f t="shared" si="1"/>
        <v>09 HORAS</v>
      </c>
      <c r="J89" s="238" t="s">
        <v>107</v>
      </c>
      <c r="K89" s="239">
        <f>+IF(J89=0,0,IF(J89="","",VLOOKUP(J89,[9]PLANTILLA!$H$139:$I$191,2,0)))</f>
        <v>280919</v>
      </c>
      <c r="L89" s="245"/>
      <c r="M89" s="241"/>
      <c r="N89" s="242"/>
      <c r="O89" s="242"/>
    </row>
    <row r="90" spans="2:15" s="243" customFormat="1" ht="72.75" customHeight="1" x14ac:dyDescent="0.35">
      <c r="B90" s="234">
        <v>45084</v>
      </c>
      <c r="C90" s="235">
        <v>0.33333333333333331</v>
      </c>
      <c r="D90" s="235">
        <v>0.66666666666666663</v>
      </c>
      <c r="E90" s="236" t="s">
        <v>342</v>
      </c>
      <c r="F90" s="236" t="s">
        <v>371</v>
      </c>
      <c r="G90" s="236" t="s">
        <v>304</v>
      </c>
      <c r="H90" s="236" t="s">
        <v>305</v>
      </c>
      <c r="I90" s="237" t="str">
        <f t="shared" si="1"/>
        <v>08 HORAS</v>
      </c>
      <c r="J90" s="238" t="s">
        <v>249</v>
      </c>
      <c r="K90" s="239">
        <f>+IF(J90=0,0,IF(J90="","",VLOOKUP(J90,[9]PLANTILLA!$H$139:$I$191,2,0)))</f>
        <v>321462</v>
      </c>
      <c r="L90" s="245"/>
      <c r="M90" s="241"/>
      <c r="N90" s="242"/>
      <c r="O90" s="242"/>
    </row>
    <row r="91" spans="2:15" s="243" customFormat="1" ht="72.75" customHeight="1" x14ac:dyDescent="0.35">
      <c r="B91" s="234">
        <v>45085</v>
      </c>
      <c r="C91" s="235">
        <v>0.33333333333333331</v>
      </c>
      <c r="D91" s="235">
        <v>0.66666666666666663</v>
      </c>
      <c r="E91" s="236" t="s">
        <v>342</v>
      </c>
      <c r="F91" s="236" t="s">
        <v>370</v>
      </c>
      <c r="G91" s="236" t="s">
        <v>304</v>
      </c>
      <c r="H91" s="236" t="s">
        <v>305</v>
      </c>
      <c r="I91" s="237" t="str">
        <f t="shared" si="1"/>
        <v>09 HORAS</v>
      </c>
      <c r="J91" s="238" t="s">
        <v>107</v>
      </c>
      <c r="K91" s="239">
        <f>+IF(J91=0,0,IF(J91="","",VLOOKUP(J91,[9]PLANTILLA!$H$139:$I$191,2,0)))</f>
        <v>280919</v>
      </c>
      <c r="L91" s="245"/>
      <c r="M91" s="241"/>
      <c r="N91" s="242"/>
      <c r="O91" s="242"/>
    </row>
    <row r="92" spans="2:15" s="243" customFormat="1" ht="72.75" customHeight="1" x14ac:dyDescent="0.35">
      <c r="B92" s="234">
        <v>45085</v>
      </c>
      <c r="C92" s="235">
        <v>0.33333333333333331</v>
      </c>
      <c r="D92" s="235">
        <v>0.66666666666666663</v>
      </c>
      <c r="E92" s="236" t="s">
        <v>342</v>
      </c>
      <c r="F92" s="236" t="s">
        <v>372</v>
      </c>
      <c r="G92" s="236" t="s">
        <v>304</v>
      </c>
      <c r="H92" s="236" t="s">
        <v>305</v>
      </c>
      <c r="I92" s="237" t="str">
        <f t="shared" si="1"/>
        <v>08 HORAS</v>
      </c>
      <c r="J92" s="238" t="s">
        <v>249</v>
      </c>
      <c r="K92" s="239">
        <f>+IF(J92=0,0,IF(J92="","",VLOOKUP(J92,[9]PLANTILLA!$H$139:$I$191,2,0)))</f>
        <v>321462</v>
      </c>
      <c r="L92" s="245"/>
      <c r="M92" s="241"/>
      <c r="N92" s="242"/>
      <c r="O92" s="242"/>
    </row>
    <row r="93" spans="2:15" s="243" customFormat="1" ht="72.75" customHeight="1" x14ac:dyDescent="0.35">
      <c r="B93" s="234">
        <v>45086</v>
      </c>
      <c r="C93" s="235">
        <v>0.33333333333333331</v>
      </c>
      <c r="D93" s="235">
        <v>0.66666666666666663</v>
      </c>
      <c r="E93" s="236" t="s">
        <v>342</v>
      </c>
      <c r="F93" s="236" t="s">
        <v>370</v>
      </c>
      <c r="G93" s="236" t="s">
        <v>304</v>
      </c>
      <c r="H93" s="236" t="s">
        <v>305</v>
      </c>
      <c r="I93" s="237" t="str">
        <f t="shared" si="1"/>
        <v>09 HORAS</v>
      </c>
      <c r="J93" s="238" t="s">
        <v>107</v>
      </c>
      <c r="K93" s="239">
        <f>+IF(J93=0,0,IF(J93="","",VLOOKUP(J93,[9]PLANTILLA!$H$139:$I$191,2,0)))</f>
        <v>280919</v>
      </c>
      <c r="L93" s="245"/>
      <c r="M93" s="247"/>
    </row>
    <row r="94" spans="2:15" s="243" customFormat="1" ht="72.75" customHeight="1" x14ac:dyDescent="0.35">
      <c r="B94" s="234">
        <v>45086</v>
      </c>
      <c r="C94" s="235">
        <v>0.33333333333333331</v>
      </c>
      <c r="D94" s="235">
        <v>0.66666666666666663</v>
      </c>
      <c r="E94" s="236" t="s">
        <v>342</v>
      </c>
      <c r="F94" s="236" t="s">
        <v>343</v>
      </c>
      <c r="G94" s="236" t="s">
        <v>304</v>
      </c>
      <c r="H94" s="236" t="s">
        <v>305</v>
      </c>
      <c r="I94" s="237" t="str">
        <f t="shared" si="1"/>
        <v>08 HORAS</v>
      </c>
      <c r="J94" s="238" t="s">
        <v>249</v>
      </c>
      <c r="K94" s="239">
        <f>+IF(J94=0,0,IF(J94="","",VLOOKUP(J94,[9]PLANTILLA!$H$139:$I$191,2,0)))</f>
        <v>321462</v>
      </c>
      <c r="L94" s="245"/>
      <c r="M94" s="247"/>
    </row>
    <row r="95" spans="2:15" s="243" customFormat="1" ht="72.75" customHeight="1" x14ac:dyDescent="0.35">
      <c r="B95" s="234">
        <v>45085</v>
      </c>
      <c r="C95" s="235">
        <v>0.29166666666666669</v>
      </c>
      <c r="D95" s="235">
        <v>0.66666666666666663</v>
      </c>
      <c r="E95" s="236" t="s">
        <v>345</v>
      </c>
      <c r="F95" s="236" t="s">
        <v>373</v>
      </c>
      <c r="G95" s="236" t="s">
        <v>306</v>
      </c>
      <c r="H95" s="236" t="s">
        <v>301</v>
      </c>
      <c r="I95" s="237" t="str">
        <f t="shared" si="1"/>
        <v>09 HORAS</v>
      </c>
      <c r="J95" s="238" t="s">
        <v>162</v>
      </c>
      <c r="K95" s="239">
        <f>+IF(J95=0,0,IF(J95="","",VLOOKUP(J95,[9]PLANTILLA!$H$139:$I$191,2,0)))</f>
        <v>290841</v>
      </c>
      <c r="L95" s="245"/>
      <c r="M95" s="247"/>
    </row>
    <row r="96" spans="2:15" s="243" customFormat="1" ht="72.75" customHeight="1" x14ac:dyDescent="0.35">
      <c r="B96" s="234">
        <v>45079</v>
      </c>
      <c r="C96" s="235">
        <v>0.29166666666666669</v>
      </c>
      <c r="D96" s="235">
        <v>0.625</v>
      </c>
      <c r="E96" s="236" t="s">
        <v>367</v>
      </c>
      <c r="F96" s="236" t="s">
        <v>374</v>
      </c>
      <c r="G96" s="236" t="s">
        <v>300</v>
      </c>
      <c r="H96" s="236" t="s">
        <v>301</v>
      </c>
      <c r="I96" s="237" t="str">
        <f t="shared" si="1"/>
        <v>08 HORAS</v>
      </c>
      <c r="J96" s="238" t="s">
        <v>249</v>
      </c>
      <c r="K96" s="239">
        <f>+IF(J96=0,0,IF(J96="","",VLOOKUP(J96,[9]PLANTILLA!$H$139:$I$191,2,0)))</f>
        <v>321462</v>
      </c>
      <c r="L96" s="245"/>
      <c r="M96" s="247"/>
    </row>
    <row r="97" spans="2:118" s="243" customFormat="1" ht="72.75" customHeight="1" x14ac:dyDescent="0.35">
      <c r="B97" s="234">
        <v>45080</v>
      </c>
      <c r="C97" s="235">
        <v>0.29166666666666669</v>
      </c>
      <c r="D97" s="235">
        <v>0.625</v>
      </c>
      <c r="E97" s="236" t="s">
        <v>367</v>
      </c>
      <c r="F97" s="236" t="s">
        <v>369</v>
      </c>
      <c r="G97" s="236" t="s">
        <v>300</v>
      </c>
      <c r="H97" s="236" t="s">
        <v>301</v>
      </c>
      <c r="I97" s="237" t="str">
        <f t="shared" si="1"/>
        <v>04 HORAS</v>
      </c>
      <c r="J97" s="238" t="s">
        <v>186</v>
      </c>
      <c r="K97" s="239">
        <f>+IF(J97=0,0,IF(J97="","",VLOOKUP(J97,[9]PLANTILLA!$H$139:$I$191,2,0)))</f>
        <v>179940</v>
      </c>
      <c r="L97" s="245"/>
      <c r="M97" s="248"/>
    </row>
    <row r="98" spans="2:118" s="243" customFormat="1" ht="72.75" customHeight="1" x14ac:dyDescent="0.35">
      <c r="B98" s="234">
        <v>45078</v>
      </c>
      <c r="C98" s="235">
        <v>0.25</v>
      </c>
      <c r="D98" s="235">
        <v>0.54166666666666663</v>
      </c>
      <c r="E98" s="236" t="s">
        <v>342</v>
      </c>
      <c r="F98" s="236" t="s">
        <v>375</v>
      </c>
      <c r="G98" s="236" t="s">
        <v>304</v>
      </c>
      <c r="H98" s="236" t="s">
        <v>305</v>
      </c>
      <c r="I98" s="237" t="str">
        <f t="shared" si="1"/>
        <v>09 HORAS</v>
      </c>
      <c r="J98" s="238" t="s">
        <v>162</v>
      </c>
      <c r="K98" s="239">
        <f>+IF(J98=0,0,IF(J98="","",VLOOKUP(J98,[9]PLANTILLA!$H$139:$I$191,2,0)))</f>
        <v>290841</v>
      </c>
      <c r="L98" s="245"/>
      <c r="M98" s="248"/>
    </row>
    <row r="99" spans="2:118" s="243" customFormat="1" ht="72.75" customHeight="1" x14ac:dyDescent="0.2">
      <c r="B99" s="234">
        <v>45079</v>
      </c>
      <c r="C99" s="235">
        <v>0.29166666666666669</v>
      </c>
      <c r="D99" s="235">
        <v>0.625</v>
      </c>
      <c r="E99" s="236" t="s">
        <v>342</v>
      </c>
      <c r="F99" s="236" t="s">
        <v>376</v>
      </c>
      <c r="G99" s="236" t="s">
        <v>304</v>
      </c>
      <c r="H99" s="236" t="s">
        <v>305</v>
      </c>
      <c r="I99" s="237" t="str">
        <f t="shared" si="1"/>
        <v>09 HORAS</v>
      </c>
      <c r="J99" s="238" t="s">
        <v>162</v>
      </c>
      <c r="K99" s="239">
        <f>+IF(J99=0,0,IF(J99="","",VLOOKUP(J99,[9]PLANTILLA!$H$139:$I$191,2,0)))</f>
        <v>290841</v>
      </c>
      <c r="L99" s="249"/>
      <c r="M99" s="247"/>
    </row>
    <row r="100" spans="2:118" s="243" customFormat="1" ht="72.75" customHeight="1" x14ac:dyDescent="0.35">
      <c r="B100" s="234">
        <v>45079</v>
      </c>
      <c r="C100" s="235">
        <v>0.29166666666666669</v>
      </c>
      <c r="D100" s="235">
        <v>0.625</v>
      </c>
      <c r="E100" s="236" t="s">
        <v>342</v>
      </c>
      <c r="F100" s="236" t="s">
        <v>377</v>
      </c>
      <c r="G100" s="236" t="s">
        <v>304</v>
      </c>
      <c r="H100" s="236" t="s">
        <v>305</v>
      </c>
      <c r="I100" s="237" t="str">
        <f t="shared" si="1"/>
        <v>09 HORAS</v>
      </c>
      <c r="J100" s="238" t="s">
        <v>162</v>
      </c>
      <c r="K100" s="239">
        <f>+IF(J100=0,0,IF(J100="","",VLOOKUP(J100,[9]PLANTILLA!$H$139:$I$191,2,0)))</f>
        <v>290841</v>
      </c>
      <c r="L100" s="245"/>
      <c r="M100" s="247"/>
    </row>
    <row r="101" spans="2:118" s="243" customFormat="1" ht="72.75" customHeight="1" x14ac:dyDescent="0.35">
      <c r="B101" s="234">
        <v>45082</v>
      </c>
      <c r="C101" s="235">
        <v>0.29166666666666669</v>
      </c>
      <c r="D101" s="235">
        <v>0.625</v>
      </c>
      <c r="E101" s="236" t="s">
        <v>342</v>
      </c>
      <c r="F101" s="236" t="s">
        <v>377</v>
      </c>
      <c r="G101" s="236" t="s">
        <v>304</v>
      </c>
      <c r="H101" s="236" t="s">
        <v>305</v>
      </c>
      <c r="I101" s="237" t="str">
        <f t="shared" si="1"/>
        <v>09 HORAS</v>
      </c>
      <c r="J101" s="238" t="s">
        <v>162</v>
      </c>
      <c r="K101" s="239">
        <f>+IF(J101=0,0,IF(J101="","",VLOOKUP(J101,[9]PLANTILLA!$H$139:$I$191,2,0)))</f>
        <v>290841</v>
      </c>
      <c r="L101" s="245"/>
      <c r="M101" s="247"/>
      <c r="DG101" s="243" t="s">
        <v>308</v>
      </c>
      <c r="DM101" s="243">
        <v>1</v>
      </c>
      <c r="DN101" s="243" t="s">
        <v>308</v>
      </c>
    </row>
    <row r="102" spans="2:118" s="243" customFormat="1" ht="72.75" customHeight="1" x14ac:dyDescent="0.2">
      <c r="B102" s="234">
        <v>45080</v>
      </c>
      <c r="C102" s="235">
        <v>0.25</v>
      </c>
      <c r="D102" s="235">
        <v>0.70833333333333337</v>
      </c>
      <c r="E102" s="236" t="s">
        <v>342</v>
      </c>
      <c r="F102" s="236" t="s">
        <v>378</v>
      </c>
      <c r="G102" s="236" t="s">
        <v>304</v>
      </c>
      <c r="H102" s="236" t="s">
        <v>305</v>
      </c>
      <c r="I102" s="237" t="str">
        <f t="shared" si="1"/>
        <v>09 HORAS</v>
      </c>
      <c r="J102" s="238" t="s">
        <v>154</v>
      </c>
      <c r="K102" s="239">
        <f>+IF(J102=0,0,IF(J102="","",VLOOKUP(J102,[9]PLANTILLA!$H$139:$I$191,2,0)))</f>
        <v>386383</v>
      </c>
      <c r="L102" s="250"/>
      <c r="M102" s="247"/>
      <c r="DG102" s="243" t="s">
        <v>308</v>
      </c>
      <c r="DM102" s="243">
        <v>1</v>
      </c>
      <c r="DN102" s="243" t="s">
        <v>308</v>
      </c>
    </row>
    <row r="103" spans="2:118" s="243" customFormat="1" ht="72.75" customHeight="1" x14ac:dyDescent="0.2">
      <c r="B103" s="234">
        <v>45085</v>
      </c>
      <c r="C103" s="235">
        <v>0.41666666666666669</v>
      </c>
      <c r="D103" s="235">
        <v>0.58333333333333337</v>
      </c>
      <c r="E103" s="236" t="s">
        <v>342</v>
      </c>
      <c r="F103" s="236" t="s">
        <v>379</v>
      </c>
      <c r="G103" s="236" t="s">
        <v>304</v>
      </c>
      <c r="H103" s="236" t="s">
        <v>305</v>
      </c>
      <c r="I103" s="237" t="str">
        <f t="shared" si="1"/>
        <v>04 HORAS</v>
      </c>
      <c r="J103" s="238" t="s">
        <v>120</v>
      </c>
      <c r="K103" s="239">
        <f>+IF(J103=0,0,IF(J103="","",VLOOKUP(J103,[9]PLANTILLA!$H$139:$I$191,2,0)))</f>
        <v>323463</v>
      </c>
      <c r="L103" s="250"/>
      <c r="M103" s="247"/>
      <c r="DG103" s="243" t="s">
        <v>308</v>
      </c>
      <c r="DM103" s="243">
        <v>1</v>
      </c>
      <c r="DN103" s="243" t="s">
        <v>308</v>
      </c>
    </row>
    <row r="104" spans="2:118" s="243" customFormat="1" ht="72.75" customHeight="1" x14ac:dyDescent="0.2">
      <c r="B104" s="234">
        <v>45090</v>
      </c>
      <c r="C104" s="235">
        <v>0.41666666666666669</v>
      </c>
      <c r="D104" s="235">
        <v>0.58333333333333337</v>
      </c>
      <c r="E104" s="236" t="s">
        <v>342</v>
      </c>
      <c r="F104" s="236" t="s">
        <v>379</v>
      </c>
      <c r="G104" s="236" t="s">
        <v>304</v>
      </c>
      <c r="H104" s="236" t="s">
        <v>305</v>
      </c>
      <c r="I104" s="237" t="str">
        <f t="shared" si="1"/>
        <v>04 HORAS</v>
      </c>
      <c r="J104" s="238" t="s">
        <v>120</v>
      </c>
      <c r="K104" s="239">
        <f>+IF(J104=0,0,IF(J104="","",VLOOKUP(J104,[9]PLANTILLA!$H$139:$I$191,2,0)))</f>
        <v>323463</v>
      </c>
      <c r="L104" s="250"/>
      <c r="M104" s="247"/>
      <c r="DG104" s="243" t="s">
        <v>308</v>
      </c>
      <c r="DM104" s="243">
        <v>1</v>
      </c>
      <c r="DN104" s="243" t="s">
        <v>308</v>
      </c>
    </row>
    <row r="105" spans="2:118" s="243" customFormat="1" ht="72.75" customHeight="1" x14ac:dyDescent="0.2">
      <c r="B105" s="234">
        <v>45097</v>
      </c>
      <c r="C105" s="235">
        <v>0.33333333333333331</v>
      </c>
      <c r="D105" s="235">
        <v>0.66666666666666663</v>
      </c>
      <c r="E105" s="236" t="s">
        <v>342</v>
      </c>
      <c r="F105" s="236" t="s">
        <v>379</v>
      </c>
      <c r="G105" s="236" t="s">
        <v>304</v>
      </c>
      <c r="H105" s="236" t="s">
        <v>305</v>
      </c>
      <c r="I105" s="237" t="str">
        <f t="shared" si="1"/>
        <v>09 HORAS</v>
      </c>
      <c r="J105" s="238" t="s">
        <v>107</v>
      </c>
      <c r="K105" s="239">
        <f>+IF(J105=0,0,IF(J105="","",VLOOKUP(J105,[9]PLANTILLA!$H$139:$I$191,2,0)))</f>
        <v>280919</v>
      </c>
      <c r="L105" s="250"/>
      <c r="M105" s="247"/>
      <c r="DG105" s="243" t="s">
        <v>308</v>
      </c>
      <c r="DM105" s="243">
        <v>1</v>
      </c>
      <c r="DN105" s="243" t="s">
        <v>308</v>
      </c>
    </row>
    <row r="106" spans="2:118" s="243" customFormat="1" ht="72.75" customHeight="1" x14ac:dyDescent="0.2">
      <c r="B106" s="234">
        <v>45097</v>
      </c>
      <c r="C106" s="235">
        <v>0.33333333333333331</v>
      </c>
      <c r="D106" s="235">
        <v>0.66666666666666663</v>
      </c>
      <c r="E106" s="236" t="s">
        <v>342</v>
      </c>
      <c r="F106" s="236" t="s">
        <v>379</v>
      </c>
      <c r="G106" s="236" t="s">
        <v>304</v>
      </c>
      <c r="H106" s="236" t="s">
        <v>305</v>
      </c>
      <c r="I106" s="237" t="str">
        <f t="shared" si="1"/>
        <v>08 HORAS</v>
      </c>
      <c r="J106" s="238" t="s">
        <v>249</v>
      </c>
      <c r="K106" s="239">
        <f>+IF(J106=0,0,IF(J106="","",VLOOKUP(J106,[9]PLANTILLA!$H$139:$I$191,2,0)))</f>
        <v>321462</v>
      </c>
      <c r="L106" s="250"/>
      <c r="M106" s="247"/>
    </row>
    <row r="107" spans="2:118" s="243" customFormat="1" ht="72.75" customHeight="1" x14ac:dyDescent="0.2">
      <c r="B107" s="234">
        <v>45098</v>
      </c>
      <c r="C107" s="235">
        <v>0.33333333333333331</v>
      </c>
      <c r="D107" s="235">
        <v>0.66666666666666663</v>
      </c>
      <c r="E107" s="236" t="s">
        <v>342</v>
      </c>
      <c r="F107" s="236" t="s">
        <v>380</v>
      </c>
      <c r="G107" s="236" t="s">
        <v>304</v>
      </c>
      <c r="H107" s="236" t="s">
        <v>305</v>
      </c>
      <c r="I107" s="237" t="str">
        <f t="shared" si="1"/>
        <v>09 HORAS</v>
      </c>
      <c r="J107" s="238" t="s">
        <v>107</v>
      </c>
      <c r="K107" s="239">
        <f>+IF(J107=0,0,IF(J107="","",VLOOKUP(J107,[9]PLANTILLA!$H$139:$I$191,2,0)))</f>
        <v>280919</v>
      </c>
      <c r="L107" s="250"/>
      <c r="M107" s="247"/>
    </row>
    <row r="108" spans="2:118" s="243" customFormat="1" ht="72.75" customHeight="1" x14ac:dyDescent="0.2">
      <c r="B108" s="234">
        <v>45098</v>
      </c>
      <c r="C108" s="235">
        <v>0.33333333333333331</v>
      </c>
      <c r="D108" s="235">
        <v>0.66666666666666663</v>
      </c>
      <c r="E108" s="236" t="s">
        <v>342</v>
      </c>
      <c r="F108" s="236" t="s">
        <v>379</v>
      </c>
      <c r="G108" s="236" t="s">
        <v>304</v>
      </c>
      <c r="H108" s="236" t="s">
        <v>305</v>
      </c>
      <c r="I108" s="237" t="str">
        <f t="shared" si="1"/>
        <v>08 HORAS</v>
      </c>
      <c r="J108" s="238" t="s">
        <v>249</v>
      </c>
      <c r="K108" s="239">
        <f>+IF(J108=0,0,IF(J108="","",VLOOKUP(J108,[9]PLANTILLA!$H$139:$I$191,2,0)))</f>
        <v>321462</v>
      </c>
      <c r="L108" s="250"/>
      <c r="M108" s="247"/>
    </row>
    <row r="109" spans="2:118" s="243" customFormat="1" ht="72.75" customHeight="1" x14ac:dyDescent="0.2">
      <c r="B109" s="234">
        <v>45091</v>
      </c>
      <c r="C109" s="235">
        <v>0.33333333333333331</v>
      </c>
      <c r="D109" s="235">
        <v>0.45833333333333331</v>
      </c>
      <c r="E109" s="236" t="s">
        <v>342</v>
      </c>
      <c r="F109" s="236" t="s">
        <v>381</v>
      </c>
      <c r="G109" s="236" t="s">
        <v>304</v>
      </c>
      <c r="H109" s="236" t="s">
        <v>305</v>
      </c>
      <c r="I109" s="237" t="str">
        <f t="shared" si="1"/>
        <v>04 HORAS</v>
      </c>
      <c r="J109" s="238" t="s">
        <v>182</v>
      </c>
      <c r="K109" s="239">
        <f>+IF(J109=0,0,IF(J109="","",VLOOKUP(J109,[9]PLANTILLA!$H$139:$I$191,2,0)))</f>
        <v>236854</v>
      </c>
      <c r="L109" s="250"/>
      <c r="M109" s="247"/>
    </row>
    <row r="110" spans="2:118" s="243" customFormat="1" ht="72.75" customHeight="1" x14ac:dyDescent="0.2">
      <c r="B110" s="234">
        <v>45099</v>
      </c>
      <c r="C110" s="235">
        <v>0.33333333333333331</v>
      </c>
      <c r="D110" s="235">
        <v>0.66666666666666663</v>
      </c>
      <c r="E110" s="236" t="s">
        <v>342</v>
      </c>
      <c r="F110" s="236" t="s">
        <v>370</v>
      </c>
      <c r="G110" s="236" t="s">
        <v>304</v>
      </c>
      <c r="H110" s="236" t="s">
        <v>305</v>
      </c>
      <c r="I110" s="237" t="str">
        <f t="shared" si="1"/>
        <v>09 HORAS</v>
      </c>
      <c r="J110" s="238" t="s">
        <v>107</v>
      </c>
      <c r="K110" s="239">
        <f>+IF(J110=0,0,IF(J110="","",VLOOKUP(J110,[9]PLANTILLA!$H$139:$I$191,2,0)))</f>
        <v>280919</v>
      </c>
      <c r="L110" s="250"/>
      <c r="M110" s="247"/>
    </row>
    <row r="111" spans="2:118" s="243" customFormat="1" ht="72.75" customHeight="1" x14ac:dyDescent="0.2">
      <c r="B111" s="234">
        <v>45099</v>
      </c>
      <c r="C111" s="235">
        <v>0.33333333333333331</v>
      </c>
      <c r="D111" s="235">
        <v>0.66666666666666663</v>
      </c>
      <c r="E111" s="236" t="s">
        <v>342</v>
      </c>
      <c r="F111" s="236" t="s">
        <v>370</v>
      </c>
      <c r="G111" s="236" t="s">
        <v>304</v>
      </c>
      <c r="H111" s="236" t="s">
        <v>305</v>
      </c>
      <c r="I111" s="237" t="str">
        <f t="shared" si="1"/>
        <v>08 HORAS</v>
      </c>
      <c r="J111" s="238" t="s">
        <v>249</v>
      </c>
      <c r="K111" s="239">
        <f>+IF(J111=0,0,IF(J111="","",VLOOKUP(J111,[9]PLANTILLA!$H$139:$I$191,2,0)))</f>
        <v>321462</v>
      </c>
      <c r="L111" s="250"/>
      <c r="M111" s="247"/>
    </row>
    <row r="112" spans="2:118" s="243" customFormat="1" ht="72.75" customHeight="1" x14ac:dyDescent="0.2">
      <c r="B112" s="234">
        <v>45100</v>
      </c>
      <c r="C112" s="235">
        <v>0.33333333333333331</v>
      </c>
      <c r="D112" s="235">
        <v>0.66666666666666663</v>
      </c>
      <c r="E112" s="236" t="s">
        <v>342</v>
      </c>
      <c r="F112" s="236" t="s">
        <v>370</v>
      </c>
      <c r="G112" s="236" t="s">
        <v>304</v>
      </c>
      <c r="H112" s="236" t="s">
        <v>305</v>
      </c>
      <c r="I112" s="237" t="str">
        <f t="shared" si="1"/>
        <v>09 HORAS</v>
      </c>
      <c r="J112" s="238" t="s">
        <v>107</v>
      </c>
      <c r="K112" s="239">
        <f>+IF(J112=0,0,IF(J112="","",VLOOKUP(J112,[9]PLANTILLA!$H$139:$I$191,2,0)))</f>
        <v>280919</v>
      </c>
      <c r="L112" s="250"/>
      <c r="M112" s="247"/>
    </row>
    <row r="113" spans="2:13" s="243" customFormat="1" ht="72.75" customHeight="1" x14ac:dyDescent="0.2">
      <c r="B113" s="234">
        <v>45100</v>
      </c>
      <c r="C113" s="235">
        <v>0.33333333333333331</v>
      </c>
      <c r="D113" s="235">
        <v>0.66666666666666663</v>
      </c>
      <c r="E113" s="236" t="s">
        <v>342</v>
      </c>
      <c r="F113" s="236" t="s">
        <v>370</v>
      </c>
      <c r="G113" s="236" t="s">
        <v>304</v>
      </c>
      <c r="H113" s="236" t="s">
        <v>305</v>
      </c>
      <c r="I113" s="237" t="str">
        <f t="shared" si="1"/>
        <v>08 HORAS</v>
      </c>
      <c r="J113" s="238" t="s">
        <v>249</v>
      </c>
      <c r="K113" s="239">
        <f>+IF(J113=0,0,IF(J113="","",VLOOKUP(J113,[9]PLANTILLA!$H$139:$I$191,2,0)))</f>
        <v>321462</v>
      </c>
      <c r="L113" s="250"/>
      <c r="M113" s="247"/>
    </row>
    <row r="114" spans="2:13" s="243" customFormat="1" ht="72.75" customHeight="1" x14ac:dyDescent="0.2">
      <c r="B114" s="234">
        <v>45099</v>
      </c>
      <c r="C114" s="235">
        <v>0.375</v>
      </c>
      <c r="D114" s="235">
        <v>0.625</v>
      </c>
      <c r="E114" s="236" t="s">
        <v>342</v>
      </c>
      <c r="F114" s="236" t="s">
        <v>379</v>
      </c>
      <c r="G114" s="236" t="s">
        <v>304</v>
      </c>
      <c r="H114" s="236" t="s">
        <v>305</v>
      </c>
      <c r="I114" s="237" t="str">
        <f t="shared" si="1"/>
        <v>09 HORAS</v>
      </c>
      <c r="J114" s="238" t="s">
        <v>162</v>
      </c>
      <c r="K114" s="239">
        <f>+IF(J114=0,0,IF(J114="","",VLOOKUP(J114,[9]PLANTILLA!$H$139:$I$191,2,0)))</f>
        <v>290841</v>
      </c>
      <c r="L114" s="250"/>
      <c r="M114" s="247"/>
    </row>
    <row r="115" spans="2:13" s="243" customFormat="1" ht="72.75" customHeight="1" x14ac:dyDescent="0.2">
      <c r="B115" s="234">
        <v>45100</v>
      </c>
      <c r="C115" s="235">
        <v>0.33333333333333331</v>
      </c>
      <c r="D115" s="235">
        <v>0.66666666666666663</v>
      </c>
      <c r="E115" s="236" t="s">
        <v>342</v>
      </c>
      <c r="F115" s="236" t="s">
        <v>358</v>
      </c>
      <c r="G115" s="236" t="s">
        <v>341</v>
      </c>
      <c r="H115" s="236" t="s">
        <v>301</v>
      </c>
      <c r="I115" s="237" t="str">
        <f t="shared" si="1"/>
        <v>09 HORAS</v>
      </c>
      <c r="J115" s="238" t="s">
        <v>158</v>
      </c>
      <c r="K115" s="239">
        <f>+IF(J115=0,0,IF(J115="","",VLOOKUP(J115,[9]PLANTILLA!$H$139:$I$191,2,0)))</f>
        <v>345928</v>
      </c>
      <c r="L115" s="250"/>
      <c r="M115" s="247"/>
    </row>
    <row r="116" spans="2:13" s="243" customFormat="1" ht="72.75" customHeight="1" x14ac:dyDescent="0.2">
      <c r="B116" s="234">
        <v>45106</v>
      </c>
      <c r="C116" s="235">
        <v>0.33333333333333331</v>
      </c>
      <c r="D116" s="235">
        <v>0.66666666666666663</v>
      </c>
      <c r="E116" s="236" t="s">
        <v>342</v>
      </c>
      <c r="F116" s="236" t="s">
        <v>359</v>
      </c>
      <c r="G116" s="236" t="s">
        <v>300</v>
      </c>
      <c r="H116" s="236" t="s">
        <v>301</v>
      </c>
      <c r="I116" s="237" t="str">
        <f t="shared" si="1"/>
        <v>09 HORAS</v>
      </c>
      <c r="J116" s="238" t="s">
        <v>162</v>
      </c>
      <c r="K116" s="239">
        <f>+IF(J116=0,0,IF(J116="","",VLOOKUP(J116,[9]PLANTILLA!$H$139:$I$191,2,0)))</f>
        <v>290841</v>
      </c>
      <c r="L116" s="250"/>
      <c r="M116" s="247"/>
    </row>
    <row r="117" spans="2:13" s="243" customFormat="1" ht="72.75" customHeight="1" x14ac:dyDescent="0.2">
      <c r="B117" s="234">
        <v>45104</v>
      </c>
      <c r="C117" s="235">
        <v>0.33333333333333331</v>
      </c>
      <c r="D117" s="235">
        <v>0.66666666666666663</v>
      </c>
      <c r="E117" s="236" t="s">
        <v>342</v>
      </c>
      <c r="F117" s="236" t="s">
        <v>371</v>
      </c>
      <c r="G117" s="236" t="s">
        <v>302</v>
      </c>
      <c r="H117" s="236" t="s">
        <v>301</v>
      </c>
      <c r="I117" s="237" t="str">
        <f t="shared" si="1"/>
        <v>09 HORAS</v>
      </c>
      <c r="J117" s="238" t="s">
        <v>166</v>
      </c>
      <c r="K117" s="239">
        <f>+IF(J117=0,0,IF(J117="","",VLOOKUP(J117,[9]PLANTILLA!$H$139:$I$191,2,0)))</f>
        <v>225849</v>
      </c>
      <c r="L117" s="250"/>
      <c r="M117" s="247"/>
    </row>
    <row r="118" spans="2:13" s="243" customFormat="1" ht="72.75" customHeight="1" x14ac:dyDescent="0.2">
      <c r="B118" s="234">
        <v>45104</v>
      </c>
      <c r="C118" s="235">
        <v>0.33333333333333331</v>
      </c>
      <c r="D118" s="235">
        <v>0.66666666666666663</v>
      </c>
      <c r="E118" s="236" t="s">
        <v>342</v>
      </c>
      <c r="F118" s="236" t="s">
        <v>371</v>
      </c>
      <c r="G118" s="236" t="s">
        <v>302</v>
      </c>
      <c r="H118" s="236" t="s">
        <v>301</v>
      </c>
      <c r="I118" s="237" t="str">
        <f t="shared" si="1"/>
        <v>08 HORAS</v>
      </c>
      <c r="J118" s="238" t="s">
        <v>249</v>
      </c>
      <c r="K118" s="239">
        <f>+IF(J118=0,0,IF(J118="","",VLOOKUP(J118,[9]PLANTILLA!$H$139:$I$191,2,0)))</f>
        <v>321462</v>
      </c>
      <c r="L118" s="250"/>
      <c r="M118" s="247"/>
    </row>
    <row r="119" spans="2:13" s="243" customFormat="1" ht="72.75" customHeight="1" x14ac:dyDescent="0.2">
      <c r="B119" s="234">
        <v>45105</v>
      </c>
      <c r="C119" s="235">
        <v>0.33333333333333331</v>
      </c>
      <c r="D119" s="235">
        <v>0.66666666666666663</v>
      </c>
      <c r="E119" s="236" t="s">
        <v>342</v>
      </c>
      <c r="F119" s="236" t="s">
        <v>370</v>
      </c>
      <c r="G119" s="236" t="s">
        <v>302</v>
      </c>
      <c r="H119" s="236" t="s">
        <v>305</v>
      </c>
      <c r="I119" s="237" t="str">
        <f t="shared" si="1"/>
        <v>09 HORAS</v>
      </c>
      <c r="J119" s="238" t="s">
        <v>166</v>
      </c>
      <c r="K119" s="239">
        <f>+IF(J119=0,0,IF(J119="","",VLOOKUP(J119,[9]PLANTILLA!$H$139:$I$191,2,0)))</f>
        <v>225849</v>
      </c>
      <c r="L119" s="250"/>
      <c r="M119" s="247"/>
    </row>
    <row r="120" spans="2:13" s="243" customFormat="1" ht="72.75" customHeight="1" x14ac:dyDescent="0.2">
      <c r="B120" s="234">
        <v>45105</v>
      </c>
      <c r="C120" s="235">
        <v>0.33333333333333331</v>
      </c>
      <c r="D120" s="235">
        <v>0.66666666666666663</v>
      </c>
      <c r="E120" s="236" t="s">
        <v>342</v>
      </c>
      <c r="F120" s="236" t="s">
        <v>370</v>
      </c>
      <c r="G120" s="236" t="s">
        <v>302</v>
      </c>
      <c r="H120" s="236" t="s">
        <v>305</v>
      </c>
      <c r="I120" s="237" t="str">
        <f t="shared" si="1"/>
        <v>08 HORAS</v>
      </c>
      <c r="J120" s="238" t="s">
        <v>249</v>
      </c>
      <c r="K120" s="239">
        <f>+IF(J120=0,0,IF(J120="","",VLOOKUP(J120,[9]PLANTILLA!$H$139:$I$191,2,0)))</f>
        <v>321462</v>
      </c>
      <c r="L120" s="250"/>
      <c r="M120" s="247"/>
    </row>
    <row r="121" spans="2:13" s="243" customFormat="1" ht="72.75" customHeight="1" x14ac:dyDescent="0.2">
      <c r="B121" s="234">
        <v>45106</v>
      </c>
      <c r="C121" s="235">
        <v>0.33333333333333331</v>
      </c>
      <c r="D121" s="235">
        <v>0.66666666666666663</v>
      </c>
      <c r="E121" s="236" t="s">
        <v>342</v>
      </c>
      <c r="F121" s="236" t="s">
        <v>372</v>
      </c>
      <c r="G121" s="236" t="s">
        <v>302</v>
      </c>
      <c r="H121" s="236" t="s">
        <v>305</v>
      </c>
      <c r="I121" s="237" t="str">
        <f t="shared" si="1"/>
        <v>09 HORAS</v>
      </c>
      <c r="J121" s="238" t="s">
        <v>166</v>
      </c>
      <c r="K121" s="239">
        <f>+IF(J121=0,0,IF(J121="","",VLOOKUP(J121,[9]PLANTILLA!$H$139:$I$191,2,0)))</f>
        <v>225849</v>
      </c>
      <c r="L121" s="250"/>
      <c r="M121" s="247"/>
    </row>
    <row r="122" spans="2:13" s="243" customFormat="1" ht="72.75" customHeight="1" x14ac:dyDescent="0.2">
      <c r="B122" s="234">
        <v>45106</v>
      </c>
      <c r="C122" s="235">
        <v>0.33333333333333331</v>
      </c>
      <c r="D122" s="235">
        <v>0.66666666666666663</v>
      </c>
      <c r="E122" s="236" t="s">
        <v>342</v>
      </c>
      <c r="F122" s="236" t="s">
        <v>372</v>
      </c>
      <c r="G122" s="236" t="s">
        <v>302</v>
      </c>
      <c r="H122" s="236" t="s">
        <v>305</v>
      </c>
      <c r="I122" s="237" t="str">
        <f t="shared" si="1"/>
        <v>08 HORAS</v>
      </c>
      <c r="J122" s="238" t="s">
        <v>249</v>
      </c>
      <c r="K122" s="239">
        <f>+IF(J122=0,0,IF(J122="","",VLOOKUP(J122,[9]PLANTILLA!$H$139:$I$191,2,0)))</f>
        <v>321462</v>
      </c>
      <c r="L122" s="250"/>
      <c r="M122" s="247"/>
    </row>
    <row r="123" spans="2:13" s="243" customFormat="1" ht="72.75" customHeight="1" x14ac:dyDescent="0.2">
      <c r="B123" s="234">
        <v>45107</v>
      </c>
      <c r="C123" s="235">
        <v>0.33333333333333331</v>
      </c>
      <c r="D123" s="235">
        <v>0.66666666666666663</v>
      </c>
      <c r="E123" s="236" t="s">
        <v>342</v>
      </c>
      <c r="F123" s="236" t="s">
        <v>370</v>
      </c>
      <c r="G123" s="236" t="s">
        <v>302</v>
      </c>
      <c r="H123" s="236" t="s">
        <v>305</v>
      </c>
      <c r="I123" s="237" t="str">
        <f t="shared" si="1"/>
        <v>09 HORAS</v>
      </c>
      <c r="J123" s="238" t="s">
        <v>166</v>
      </c>
      <c r="K123" s="239">
        <f>+IF(J123=0,0,IF(J123="","",VLOOKUP(J123,[9]PLANTILLA!$H$139:$I$191,2,0)))</f>
        <v>225849</v>
      </c>
      <c r="L123" s="250"/>
      <c r="M123" s="247"/>
    </row>
    <row r="124" spans="2:13" s="243" customFormat="1" ht="72.75" customHeight="1" x14ac:dyDescent="0.2">
      <c r="B124" s="234">
        <v>45107</v>
      </c>
      <c r="C124" s="235">
        <v>0.33333333333333331</v>
      </c>
      <c r="D124" s="235">
        <v>0.66666666666666663</v>
      </c>
      <c r="E124" s="236" t="s">
        <v>342</v>
      </c>
      <c r="F124" s="236" t="s">
        <v>372</v>
      </c>
      <c r="G124" s="236" t="s">
        <v>302</v>
      </c>
      <c r="H124" s="236" t="s">
        <v>305</v>
      </c>
      <c r="I124" s="237" t="str">
        <f t="shared" si="1"/>
        <v>08 HORAS</v>
      </c>
      <c r="J124" s="238" t="s">
        <v>249</v>
      </c>
      <c r="K124" s="239">
        <f>+IF(J124=0,0,IF(J124="","",VLOOKUP(J124,[9]PLANTILLA!$H$139:$I$191,2,0)))</f>
        <v>321462</v>
      </c>
      <c r="L124" s="250"/>
      <c r="M124" s="247"/>
    </row>
    <row r="125" spans="2:13" s="243" customFormat="1" ht="72.75" customHeight="1" x14ac:dyDescent="0.2">
      <c r="B125" s="234">
        <v>45106</v>
      </c>
      <c r="C125" s="235">
        <v>0.33333333333333331</v>
      </c>
      <c r="D125" s="235">
        <v>0.5</v>
      </c>
      <c r="E125" s="236" t="s">
        <v>342</v>
      </c>
      <c r="F125" s="236" t="s">
        <v>382</v>
      </c>
      <c r="G125" s="236" t="s">
        <v>304</v>
      </c>
      <c r="H125" s="236" t="s">
        <v>305</v>
      </c>
      <c r="I125" s="237" t="str">
        <f t="shared" si="1"/>
        <v>04 HORAS</v>
      </c>
      <c r="J125" s="238" t="s">
        <v>197</v>
      </c>
      <c r="K125" s="239">
        <f>+IF(J125=0,0,IF(J125="","",VLOOKUP(J125,[9]PLANTILLA!$H$139:$I$191,2,0)))</f>
        <v>173120</v>
      </c>
      <c r="L125" s="250"/>
      <c r="M125" s="247"/>
    </row>
    <row r="126" spans="2:13" s="243" customFormat="1" ht="72.75" customHeight="1" x14ac:dyDescent="0.2">
      <c r="B126" s="234">
        <v>45106</v>
      </c>
      <c r="C126" s="235">
        <v>0.33333333333333331</v>
      </c>
      <c r="D126" s="235">
        <v>0.5</v>
      </c>
      <c r="E126" s="236" t="s">
        <v>342</v>
      </c>
      <c r="F126" s="236" t="s">
        <v>383</v>
      </c>
      <c r="G126" s="236" t="s">
        <v>304</v>
      </c>
      <c r="H126" s="236" t="s">
        <v>305</v>
      </c>
      <c r="I126" s="237" t="str">
        <f t="shared" si="1"/>
        <v>08 HORAS</v>
      </c>
      <c r="J126" s="238" t="s">
        <v>36</v>
      </c>
      <c r="K126" s="239">
        <f>+IF(J126=0,0,IF(J126="","",VLOOKUP(J126,[9]PLANTILLA!$H$139:$I$191,2,0)))</f>
        <v>53577</v>
      </c>
      <c r="L126" s="250"/>
      <c r="M126" s="247"/>
    </row>
    <row r="127" spans="2:13" s="243" customFormat="1" ht="72.75" customHeight="1" x14ac:dyDescent="0.2">
      <c r="B127" s="234">
        <v>45078</v>
      </c>
      <c r="C127" s="235">
        <v>0.23958333333333334</v>
      </c>
      <c r="D127" s="235">
        <v>0.77083333333333337</v>
      </c>
      <c r="E127" s="236" t="s">
        <v>361</v>
      </c>
      <c r="F127" s="236" t="s">
        <v>362</v>
      </c>
      <c r="G127" s="236" t="s">
        <v>300</v>
      </c>
      <c r="H127" s="236" t="s">
        <v>301</v>
      </c>
      <c r="I127" s="237" t="str">
        <f t="shared" si="1"/>
        <v>15 HORAS</v>
      </c>
      <c r="J127" s="238" t="s">
        <v>142</v>
      </c>
      <c r="K127" s="239">
        <f>+IF(J127=0,0,IF(J127="","",VLOOKUP(J127,[9]PLANTILLA!$H$139:$I$191,2,0)))</f>
        <v>323189</v>
      </c>
      <c r="L127" s="250"/>
      <c r="M127" s="247"/>
    </row>
    <row r="128" spans="2:13" s="243" customFormat="1" ht="72.75" customHeight="1" x14ac:dyDescent="0.2">
      <c r="B128" s="234">
        <v>45079</v>
      </c>
      <c r="C128" s="235">
        <v>0.23958333333333334</v>
      </c>
      <c r="D128" s="235">
        <v>0.5625</v>
      </c>
      <c r="E128" s="236" t="s">
        <v>361</v>
      </c>
      <c r="F128" s="236" t="s">
        <v>362</v>
      </c>
      <c r="G128" s="236" t="s">
        <v>300</v>
      </c>
      <c r="H128" s="236" t="s">
        <v>301</v>
      </c>
      <c r="I128" s="237" t="str">
        <f t="shared" si="1"/>
        <v>09 HORAS</v>
      </c>
      <c r="J128" s="238" t="s">
        <v>162</v>
      </c>
      <c r="K128" s="239">
        <f>+IF(J128=0,0,IF(J128="","",VLOOKUP(J128,[9]PLANTILLA!$H$139:$I$191,2,0)))</f>
        <v>290841</v>
      </c>
      <c r="L128" s="250"/>
      <c r="M128" s="247"/>
    </row>
    <row r="129" spans="2:13" s="243" customFormat="1" ht="72.75" customHeight="1" x14ac:dyDescent="0.2">
      <c r="B129" s="234">
        <v>45080</v>
      </c>
      <c r="C129" s="235">
        <v>0.23958333333333334</v>
      </c>
      <c r="D129" s="235">
        <v>0.5625</v>
      </c>
      <c r="E129" s="236" t="s">
        <v>361</v>
      </c>
      <c r="F129" s="236" t="s">
        <v>362</v>
      </c>
      <c r="G129" s="236" t="s">
        <v>300</v>
      </c>
      <c r="H129" s="236" t="s">
        <v>301</v>
      </c>
      <c r="I129" s="237" t="str">
        <f t="shared" si="1"/>
        <v>09 HORAS</v>
      </c>
      <c r="J129" s="238" t="s">
        <v>162</v>
      </c>
      <c r="K129" s="239">
        <f>+IF(J129=0,0,IF(J129="","",VLOOKUP(J129,[9]PLANTILLA!$H$139:$I$191,2,0)))</f>
        <v>290841</v>
      </c>
      <c r="L129" s="250"/>
      <c r="M129" s="247"/>
    </row>
    <row r="130" spans="2:13" s="243" customFormat="1" ht="72.75" customHeight="1" x14ac:dyDescent="0.2">
      <c r="B130" s="234">
        <v>45083</v>
      </c>
      <c r="C130" s="235">
        <v>0.23958333333333334</v>
      </c>
      <c r="D130" s="235">
        <v>0.77083333333333337</v>
      </c>
      <c r="E130" s="236" t="s">
        <v>361</v>
      </c>
      <c r="F130" s="236" t="s">
        <v>362</v>
      </c>
      <c r="G130" s="236" t="s">
        <v>300</v>
      </c>
      <c r="H130" s="236" t="s">
        <v>301</v>
      </c>
      <c r="I130" s="237" t="str">
        <f t="shared" si="1"/>
        <v>15 HORAS</v>
      </c>
      <c r="J130" s="238" t="s">
        <v>142</v>
      </c>
      <c r="K130" s="239">
        <f>+IF(J130=0,0,IF(J130="","",VLOOKUP(J130,[9]PLANTILLA!$H$139:$I$191,2,0)))</f>
        <v>323189</v>
      </c>
      <c r="L130" s="250"/>
      <c r="M130" s="247"/>
    </row>
    <row r="131" spans="2:13" s="243" customFormat="1" ht="72.75" customHeight="1" x14ac:dyDescent="0.2">
      <c r="B131" s="234">
        <v>45084</v>
      </c>
      <c r="C131" s="235">
        <v>0.23958333333333334</v>
      </c>
      <c r="D131" s="235">
        <v>0.77083333333333337</v>
      </c>
      <c r="E131" s="236" t="s">
        <v>361</v>
      </c>
      <c r="F131" s="236" t="s">
        <v>362</v>
      </c>
      <c r="G131" s="236" t="s">
        <v>300</v>
      </c>
      <c r="H131" s="236" t="s">
        <v>301</v>
      </c>
      <c r="I131" s="237" t="str">
        <f t="shared" si="1"/>
        <v>15 HORAS</v>
      </c>
      <c r="J131" s="238" t="s">
        <v>142</v>
      </c>
      <c r="K131" s="239">
        <f>+IF(J131=0,0,IF(J131="","",VLOOKUP(J131,[9]PLANTILLA!$H$139:$I$191,2,0)))</f>
        <v>323189</v>
      </c>
      <c r="L131" s="250"/>
      <c r="M131" s="247"/>
    </row>
    <row r="132" spans="2:13" s="243" customFormat="1" ht="72.75" customHeight="1" x14ac:dyDescent="0.2">
      <c r="B132" s="234">
        <v>45085</v>
      </c>
      <c r="C132" s="235">
        <v>0.23958333333333334</v>
      </c>
      <c r="D132" s="235">
        <v>0.5625</v>
      </c>
      <c r="E132" s="236" t="s">
        <v>361</v>
      </c>
      <c r="F132" s="236" t="s">
        <v>362</v>
      </c>
      <c r="G132" s="236" t="s">
        <v>300</v>
      </c>
      <c r="H132" s="344" t="s">
        <v>301</v>
      </c>
      <c r="I132" s="237" t="str">
        <f t="shared" si="1"/>
        <v>09 HORAS</v>
      </c>
      <c r="J132" s="238" t="s">
        <v>162</v>
      </c>
      <c r="K132" s="239">
        <f>+IF(J132=0,0,IF(J132="","",VLOOKUP(J132,[9]PLANTILLA!$H$139:$I$191,2,0)))</f>
        <v>290841</v>
      </c>
      <c r="L132" s="250"/>
      <c r="M132" s="247"/>
    </row>
    <row r="133" spans="2:13" s="243" customFormat="1" ht="72.75" customHeight="1" x14ac:dyDescent="0.2">
      <c r="B133" s="234">
        <v>45086</v>
      </c>
      <c r="C133" s="235">
        <v>0.23958333333333334</v>
      </c>
      <c r="D133" s="235">
        <v>0.77083333333333337</v>
      </c>
      <c r="E133" s="236" t="s">
        <v>361</v>
      </c>
      <c r="F133" s="236" t="s">
        <v>362</v>
      </c>
      <c r="G133" s="236" t="s">
        <v>300</v>
      </c>
      <c r="H133" s="344" t="s">
        <v>301</v>
      </c>
      <c r="I133" s="237" t="str">
        <f t="shared" si="1"/>
        <v>15 HORAS</v>
      </c>
      <c r="J133" s="238" t="s">
        <v>142</v>
      </c>
      <c r="K133" s="239">
        <f>+IF(J133=0,0,IF(J133="","",VLOOKUP(J133,[9]PLANTILLA!$H$139:$I$191,2,0)))</f>
        <v>323189</v>
      </c>
      <c r="L133" s="250"/>
      <c r="M133" s="247"/>
    </row>
    <row r="134" spans="2:13" s="243" customFormat="1" ht="72.75" customHeight="1" x14ac:dyDescent="0.2">
      <c r="B134" s="234">
        <v>45087</v>
      </c>
      <c r="C134" s="235">
        <v>0.23958333333333334</v>
      </c>
      <c r="D134" s="235">
        <v>0.5625</v>
      </c>
      <c r="E134" s="236" t="s">
        <v>361</v>
      </c>
      <c r="F134" s="236" t="s">
        <v>362</v>
      </c>
      <c r="G134" s="236" t="s">
        <v>300</v>
      </c>
      <c r="H134" s="344" t="s">
        <v>301</v>
      </c>
      <c r="I134" s="237" t="str">
        <f t="shared" si="1"/>
        <v>09 HORAS</v>
      </c>
      <c r="J134" s="238" t="s">
        <v>162</v>
      </c>
      <c r="K134" s="239">
        <f>+IF(J134=0,0,IF(J134="","",VLOOKUP(J134,[9]PLANTILLA!$H$139:$I$191,2,0)))</f>
        <v>290841</v>
      </c>
      <c r="L134" s="251"/>
      <c r="M134" s="247"/>
    </row>
    <row r="135" spans="2:13" s="243" customFormat="1" ht="72.75" customHeight="1" x14ac:dyDescent="0.2">
      <c r="B135" s="234">
        <v>45090</v>
      </c>
      <c r="C135" s="235">
        <v>0.23958333333333334</v>
      </c>
      <c r="D135" s="235">
        <v>0.77083333333333337</v>
      </c>
      <c r="E135" s="236" t="s">
        <v>361</v>
      </c>
      <c r="F135" s="236" t="s">
        <v>362</v>
      </c>
      <c r="G135" s="236" t="s">
        <v>300</v>
      </c>
      <c r="H135" s="344" t="s">
        <v>301</v>
      </c>
      <c r="I135" s="237" t="str">
        <f t="shared" si="1"/>
        <v>15 HORAS</v>
      </c>
      <c r="J135" s="238" t="s">
        <v>142</v>
      </c>
      <c r="K135" s="239">
        <f>+IF(J135=0,0,IF(J135="","",VLOOKUP(J135,[9]PLANTILLA!$H$139:$I$191,2,0)))</f>
        <v>323189</v>
      </c>
      <c r="L135" s="250"/>
      <c r="M135" s="247"/>
    </row>
    <row r="136" spans="2:13" s="243" customFormat="1" ht="72.75" customHeight="1" x14ac:dyDescent="0.2">
      <c r="B136" s="234">
        <v>45091</v>
      </c>
      <c r="C136" s="235">
        <v>0.23958333333333334</v>
      </c>
      <c r="D136" s="235">
        <v>0.77083333333333337</v>
      </c>
      <c r="E136" s="236" t="s">
        <v>361</v>
      </c>
      <c r="F136" s="236" t="s">
        <v>362</v>
      </c>
      <c r="G136" s="236" t="s">
        <v>300</v>
      </c>
      <c r="H136" s="344" t="s">
        <v>301</v>
      </c>
      <c r="I136" s="237" t="str">
        <f t="shared" si="1"/>
        <v>15 HORAS</v>
      </c>
      <c r="J136" s="238" t="s">
        <v>142</v>
      </c>
      <c r="K136" s="239">
        <f>+IF(J136=0,0,IF(J136="","",VLOOKUP(J136,[9]PLANTILLA!$H$139:$I$191,2,0)))</f>
        <v>323189</v>
      </c>
      <c r="L136" s="250"/>
      <c r="M136" s="247"/>
    </row>
    <row r="137" spans="2:13" s="243" customFormat="1" ht="72.75" customHeight="1" x14ac:dyDescent="0.2">
      <c r="B137" s="234">
        <v>45092</v>
      </c>
      <c r="C137" s="235">
        <v>0.23958333333333334</v>
      </c>
      <c r="D137" s="235">
        <v>0.77083333333333337</v>
      </c>
      <c r="E137" s="236" t="s">
        <v>361</v>
      </c>
      <c r="F137" s="236" t="s">
        <v>362</v>
      </c>
      <c r="G137" s="236" t="s">
        <v>300</v>
      </c>
      <c r="H137" s="344" t="s">
        <v>301</v>
      </c>
      <c r="I137" s="237" t="str">
        <f t="shared" si="1"/>
        <v>15 HORAS</v>
      </c>
      <c r="J137" s="238" t="s">
        <v>142</v>
      </c>
      <c r="K137" s="239">
        <f>+IF(J137=0,0,IF(J137="","",VLOOKUP(J137,[9]PLANTILLA!$H$139:$I$191,2,0)))</f>
        <v>323189</v>
      </c>
      <c r="L137" s="250"/>
      <c r="M137" s="247"/>
    </row>
    <row r="138" spans="2:13" s="243" customFormat="1" ht="72.75" customHeight="1" x14ac:dyDescent="0.2">
      <c r="B138" s="234">
        <v>45093</v>
      </c>
      <c r="C138" s="235">
        <v>0.23958333333333334</v>
      </c>
      <c r="D138" s="235">
        <v>0.5625</v>
      </c>
      <c r="E138" s="236" t="s">
        <v>361</v>
      </c>
      <c r="F138" s="236" t="s">
        <v>362</v>
      </c>
      <c r="G138" s="236" t="s">
        <v>300</v>
      </c>
      <c r="H138" s="344" t="s">
        <v>301</v>
      </c>
      <c r="I138" s="237" t="str">
        <f t="shared" si="1"/>
        <v>09 HORAS</v>
      </c>
      <c r="J138" s="238" t="s">
        <v>162</v>
      </c>
      <c r="K138" s="239">
        <f>+IF(J138=0,0,IF(J138="","",VLOOKUP(J138,[9]PLANTILLA!$H$139:$I$191,2,0)))</f>
        <v>290841</v>
      </c>
      <c r="L138" s="250"/>
      <c r="M138" s="247"/>
    </row>
    <row r="139" spans="2:13" s="243" customFormat="1" ht="72.75" customHeight="1" x14ac:dyDescent="0.2">
      <c r="B139" s="234">
        <v>45094</v>
      </c>
      <c r="C139" s="235">
        <v>0.23958333333333334</v>
      </c>
      <c r="D139" s="235">
        <v>0.5625</v>
      </c>
      <c r="E139" s="236" t="s">
        <v>361</v>
      </c>
      <c r="F139" s="236" t="s">
        <v>362</v>
      </c>
      <c r="G139" s="236" t="s">
        <v>300</v>
      </c>
      <c r="H139" s="344" t="s">
        <v>301</v>
      </c>
      <c r="I139" s="237" t="str">
        <f t="shared" si="1"/>
        <v>09 HORAS</v>
      </c>
      <c r="J139" s="238" t="s">
        <v>162</v>
      </c>
      <c r="K139" s="239">
        <f>+IF(J139=0,0,IF(J139="","",VLOOKUP(J139,[9]PLANTILLA!$H$139:$I$191,2,0)))</f>
        <v>290841</v>
      </c>
      <c r="L139" s="250"/>
      <c r="M139" s="247"/>
    </row>
    <row r="140" spans="2:13" s="243" customFormat="1" ht="72.75" customHeight="1" x14ac:dyDescent="0.2">
      <c r="B140" s="234">
        <v>45097</v>
      </c>
      <c r="C140" s="235">
        <v>0.23958333333333334</v>
      </c>
      <c r="D140" s="235">
        <v>0.77083333333333337</v>
      </c>
      <c r="E140" s="236" t="s">
        <v>361</v>
      </c>
      <c r="F140" s="236" t="s">
        <v>362</v>
      </c>
      <c r="G140" s="236" t="s">
        <v>300</v>
      </c>
      <c r="H140" s="236" t="s">
        <v>301</v>
      </c>
      <c r="I140" s="237" t="str">
        <f t="shared" si="1"/>
        <v>15 HORAS</v>
      </c>
      <c r="J140" s="238" t="s">
        <v>142</v>
      </c>
      <c r="K140" s="239">
        <f>+IF(J140=0,0,IF(J140="","",VLOOKUP(J140,[9]PLANTILLA!$H$139:$I$191,2,0)))</f>
        <v>323189</v>
      </c>
      <c r="L140" s="251"/>
      <c r="M140" s="247"/>
    </row>
    <row r="141" spans="2:13" s="243" customFormat="1" ht="72.75" customHeight="1" x14ac:dyDescent="0.2">
      <c r="B141" s="234">
        <v>45098</v>
      </c>
      <c r="C141" s="235">
        <v>0.23958333333333334</v>
      </c>
      <c r="D141" s="235">
        <v>0.77083333333333337</v>
      </c>
      <c r="E141" s="236" t="s">
        <v>361</v>
      </c>
      <c r="F141" s="236" t="s">
        <v>362</v>
      </c>
      <c r="G141" s="236" t="s">
        <v>300</v>
      </c>
      <c r="H141" s="236" t="s">
        <v>301</v>
      </c>
      <c r="I141" s="237" t="str">
        <f t="shared" si="1"/>
        <v>15 HORAS</v>
      </c>
      <c r="J141" s="238" t="s">
        <v>142</v>
      </c>
      <c r="K141" s="239">
        <f>+IF(J141=0,0,IF(J141="","",VLOOKUP(J141,[9]PLANTILLA!$H$139:$I$191,2,0)))</f>
        <v>323189</v>
      </c>
      <c r="L141" s="250"/>
      <c r="M141" s="247"/>
    </row>
    <row r="142" spans="2:13" s="243" customFormat="1" ht="72.75" customHeight="1" x14ac:dyDescent="0.2">
      <c r="B142" s="234">
        <v>45099</v>
      </c>
      <c r="C142" s="235">
        <v>0.23958333333333334</v>
      </c>
      <c r="D142" s="235">
        <v>0.5625</v>
      </c>
      <c r="E142" s="236" t="s">
        <v>361</v>
      </c>
      <c r="F142" s="236" t="s">
        <v>362</v>
      </c>
      <c r="G142" s="236" t="s">
        <v>300</v>
      </c>
      <c r="H142" s="236" t="s">
        <v>301</v>
      </c>
      <c r="I142" s="237" t="str">
        <f t="shared" si="1"/>
        <v>09 HORAS</v>
      </c>
      <c r="J142" s="238" t="s">
        <v>162</v>
      </c>
      <c r="K142" s="239">
        <f>+IF(J142=0,0,IF(J142="","",VLOOKUP(J142,[9]PLANTILLA!$H$139:$I$191,2,0)))</f>
        <v>290841</v>
      </c>
      <c r="L142" s="250"/>
      <c r="M142" s="247"/>
    </row>
    <row r="143" spans="2:13" s="243" customFormat="1" ht="72.75" customHeight="1" x14ac:dyDescent="0.2">
      <c r="B143" s="234">
        <v>45100</v>
      </c>
      <c r="C143" s="235">
        <v>0.23958333333333334</v>
      </c>
      <c r="D143" s="235">
        <v>0.77083333333333337</v>
      </c>
      <c r="E143" s="236" t="s">
        <v>361</v>
      </c>
      <c r="F143" s="236" t="s">
        <v>362</v>
      </c>
      <c r="G143" s="236" t="s">
        <v>300</v>
      </c>
      <c r="H143" s="236" t="s">
        <v>301</v>
      </c>
      <c r="I143" s="237" t="str">
        <f t="shared" si="1"/>
        <v>15 HORAS</v>
      </c>
      <c r="J143" s="238" t="s">
        <v>142</v>
      </c>
      <c r="K143" s="239">
        <f>+IF(J143=0,0,IF(J143="","",VLOOKUP(J143,[9]PLANTILLA!$H$139:$I$191,2,0)))</f>
        <v>323189</v>
      </c>
      <c r="L143" s="250"/>
      <c r="M143" s="247"/>
    </row>
    <row r="144" spans="2:13" s="243" customFormat="1" ht="72.75" customHeight="1" x14ac:dyDescent="0.2">
      <c r="B144" s="234">
        <v>45101</v>
      </c>
      <c r="C144" s="235">
        <v>0.23958333333333334</v>
      </c>
      <c r="D144" s="235">
        <v>0.5625</v>
      </c>
      <c r="E144" s="236" t="s">
        <v>361</v>
      </c>
      <c r="F144" s="236" t="s">
        <v>362</v>
      </c>
      <c r="G144" s="236" t="s">
        <v>300</v>
      </c>
      <c r="H144" s="236" t="s">
        <v>301</v>
      </c>
      <c r="I144" s="237" t="str">
        <f t="shared" si="1"/>
        <v>09 HORAS</v>
      </c>
      <c r="J144" s="238" t="s">
        <v>162</v>
      </c>
      <c r="K144" s="239">
        <f>+IF(J144=0,0,IF(J144="","",VLOOKUP(J144,[9]PLANTILLA!$H$139:$I$191,2,0)))</f>
        <v>290841</v>
      </c>
      <c r="L144" s="250"/>
      <c r="M144" s="247"/>
    </row>
    <row r="145" spans="2:13" s="243" customFormat="1" ht="72.75" customHeight="1" x14ac:dyDescent="0.2">
      <c r="B145" s="234">
        <v>45103</v>
      </c>
      <c r="C145" s="235">
        <v>0.23958333333333334</v>
      </c>
      <c r="D145" s="235">
        <v>0.5625</v>
      </c>
      <c r="E145" s="236" t="s">
        <v>361</v>
      </c>
      <c r="F145" s="236" t="s">
        <v>362</v>
      </c>
      <c r="G145" s="236" t="s">
        <v>300</v>
      </c>
      <c r="H145" s="236" t="s">
        <v>301</v>
      </c>
      <c r="I145" s="237" t="str">
        <f t="shared" si="1"/>
        <v>09 HORAS</v>
      </c>
      <c r="J145" s="238" t="s">
        <v>162</v>
      </c>
      <c r="K145" s="239">
        <f>+IF(J145=0,0,IF(J145="","",VLOOKUP(J145,[9]PLANTILLA!$H$139:$I$191,2,0)))</f>
        <v>290841</v>
      </c>
      <c r="L145" s="250"/>
      <c r="M145" s="247"/>
    </row>
    <row r="146" spans="2:13" s="243" customFormat="1" ht="72.75" customHeight="1" x14ac:dyDescent="0.2">
      <c r="B146" s="234">
        <v>45104</v>
      </c>
      <c r="C146" s="235">
        <v>0.23958333333333334</v>
      </c>
      <c r="D146" s="235">
        <v>0.5625</v>
      </c>
      <c r="E146" s="236" t="s">
        <v>361</v>
      </c>
      <c r="F146" s="236" t="s">
        <v>362</v>
      </c>
      <c r="G146" s="236" t="s">
        <v>300</v>
      </c>
      <c r="H146" s="236" t="s">
        <v>301</v>
      </c>
      <c r="I146" s="237" t="str">
        <f t="shared" si="1"/>
        <v>09 HORAS</v>
      </c>
      <c r="J146" s="238" t="s">
        <v>162</v>
      </c>
      <c r="K146" s="239">
        <f>+IF(J146=0,0,IF(J146="","",VLOOKUP(J146,[9]PLANTILLA!$H$139:$I$191,2,0)))</f>
        <v>290841</v>
      </c>
      <c r="L146" s="250"/>
      <c r="M146" s="247"/>
    </row>
    <row r="147" spans="2:13" s="243" customFormat="1" ht="72.75" customHeight="1" x14ac:dyDescent="0.2">
      <c r="B147" s="234">
        <v>45105</v>
      </c>
      <c r="C147" s="235">
        <v>0.23958333333333334</v>
      </c>
      <c r="D147" s="235">
        <v>0.77083333333333337</v>
      </c>
      <c r="E147" s="236" t="s">
        <v>361</v>
      </c>
      <c r="F147" s="236" t="s">
        <v>362</v>
      </c>
      <c r="G147" s="236" t="s">
        <v>300</v>
      </c>
      <c r="H147" s="236" t="s">
        <v>301</v>
      </c>
      <c r="I147" s="237" t="str">
        <f t="shared" si="1"/>
        <v>15 HORAS</v>
      </c>
      <c r="J147" s="238" t="s">
        <v>142</v>
      </c>
      <c r="K147" s="239">
        <f>+IF(J147=0,0,IF(J147="","",VLOOKUP(J147,[9]PLANTILLA!$H$139:$I$191,2,0)))</f>
        <v>323189</v>
      </c>
      <c r="L147" s="250"/>
      <c r="M147" s="247"/>
    </row>
    <row r="148" spans="2:13" s="243" customFormat="1" ht="72.75" customHeight="1" x14ac:dyDescent="0.2">
      <c r="B148" s="234">
        <v>45106</v>
      </c>
      <c r="C148" s="235">
        <v>0.23958333333333334</v>
      </c>
      <c r="D148" s="235">
        <v>0.77083333333333337</v>
      </c>
      <c r="E148" s="236" t="s">
        <v>361</v>
      </c>
      <c r="F148" s="236" t="s">
        <v>362</v>
      </c>
      <c r="G148" s="236" t="s">
        <v>300</v>
      </c>
      <c r="H148" s="236" t="s">
        <v>301</v>
      </c>
      <c r="I148" s="237" t="str">
        <f t="shared" ref="I148:I157" si="2">+IF(J148=0,0,CONCATENATE(MID(J148,FIND("-",J148,1)+1,4),"ORAS"))</f>
        <v>15 HORAS</v>
      </c>
      <c r="J148" s="238" t="s">
        <v>142</v>
      </c>
      <c r="K148" s="239">
        <f>+IF(J148=0,0,IF(J148="","",VLOOKUP(J148,[9]PLANTILLA!$H$139:$I$191,2,0)))</f>
        <v>323189</v>
      </c>
      <c r="L148" s="250"/>
      <c r="M148" s="247"/>
    </row>
    <row r="149" spans="2:13" s="243" customFormat="1" ht="72.75" customHeight="1" x14ac:dyDescent="0.2">
      <c r="B149" s="234">
        <v>45107</v>
      </c>
      <c r="C149" s="235">
        <v>0.23958333333333334</v>
      </c>
      <c r="D149" s="235">
        <v>0.77083333333333337</v>
      </c>
      <c r="E149" s="236" t="s">
        <v>361</v>
      </c>
      <c r="F149" s="236" t="s">
        <v>362</v>
      </c>
      <c r="G149" s="236" t="s">
        <v>300</v>
      </c>
      <c r="H149" s="236" t="s">
        <v>301</v>
      </c>
      <c r="I149" s="237" t="str">
        <f t="shared" si="2"/>
        <v>09 HORAS</v>
      </c>
      <c r="J149" s="238" t="s">
        <v>162</v>
      </c>
      <c r="K149" s="239">
        <f>+IF(J149=0,0,IF(J149="","",VLOOKUP(J149,[9]PLANTILLA!$H$139:$I$191,2,0)))</f>
        <v>290841</v>
      </c>
      <c r="L149" s="250"/>
      <c r="M149" s="247"/>
    </row>
    <row r="150" spans="2:13" s="243" customFormat="1" ht="72.75" customHeight="1" x14ac:dyDescent="0.2">
      <c r="B150" s="234">
        <v>45095</v>
      </c>
      <c r="C150" s="235">
        <v>0.23958333333333334</v>
      </c>
      <c r="D150" s="235">
        <v>0.77083333333333337</v>
      </c>
      <c r="E150" s="236" t="s">
        <v>367</v>
      </c>
      <c r="F150" s="236" t="s">
        <v>366</v>
      </c>
      <c r="G150" s="236" t="s">
        <v>300</v>
      </c>
      <c r="H150" s="236" t="s">
        <v>301</v>
      </c>
      <c r="I150" s="237" t="str">
        <f t="shared" si="2"/>
        <v>09 HORAS</v>
      </c>
      <c r="J150" s="238" t="s">
        <v>154</v>
      </c>
      <c r="K150" s="239">
        <f>+IF(J150=0,0,IF(J150="","",VLOOKUP(J150,[9]PLANTILLA!$H$139:$I$191,2,0)))</f>
        <v>386383</v>
      </c>
      <c r="L150" s="250"/>
      <c r="M150" s="247"/>
    </row>
    <row r="151" spans="2:13" s="243" customFormat="1" ht="72.75" customHeight="1" x14ac:dyDescent="0.2">
      <c r="B151" s="234">
        <v>45106</v>
      </c>
      <c r="C151" s="235">
        <v>0.23958333333333334</v>
      </c>
      <c r="D151" s="235">
        <v>0.77083333333333337</v>
      </c>
      <c r="E151" s="236" t="s">
        <v>367</v>
      </c>
      <c r="F151" s="236" t="s">
        <v>365</v>
      </c>
      <c r="G151" s="236" t="s">
        <v>300</v>
      </c>
      <c r="H151" s="236" t="s">
        <v>301</v>
      </c>
      <c r="I151" s="237" t="str">
        <f t="shared" si="2"/>
        <v>09 HORAS</v>
      </c>
      <c r="J151" s="238" t="s">
        <v>154</v>
      </c>
      <c r="K151" s="239">
        <f>+IF(J151=0,0,IF(J151="","",VLOOKUP(J151,[9]PLANTILLA!$H$139:$I$191,2,0)))</f>
        <v>386383</v>
      </c>
      <c r="L151" s="250"/>
      <c r="M151" s="247"/>
    </row>
    <row r="152" spans="2:13" s="243" customFormat="1" ht="72.75" customHeight="1" x14ac:dyDescent="0.2">
      <c r="B152" s="234"/>
      <c r="C152" s="235"/>
      <c r="D152" s="235"/>
      <c r="E152" s="236"/>
      <c r="F152" s="236"/>
      <c r="G152" s="236"/>
      <c r="H152" s="236"/>
      <c r="I152" s="237">
        <f t="shared" si="2"/>
        <v>0</v>
      </c>
      <c r="J152" s="238">
        <v>0</v>
      </c>
      <c r="K152" s="239">
        <f>+IF(J152=0,0,IF(J152="","",VLOOKUP(J152,[9]PLANTILLA!$H$139:$I$191,2,0)))</f>
        <v>0</v>
      </c>
      <c r="L152" s="250"/>
      <c r="M152" s="247"/>
    </row>
    <row r="153" spans="2:13" s="243" customFormat="1" ht="72.75" customHeight="1" x14ac:dyDescent="0.2">
      <c r="B153" s="234"/>
      <c r="C153" s="235"/>
      <c r="D153" s="235"/>
      <c r="E153" s="236"/>
      <c r="F153" s="236"/>
      <c r="G153" s="236"/>
      <c r="H153" s="236"/>
      <c r="I153" s="237">
        <f t="shared" si="2"/>
        <v>0</v>
      </c>
      <c r="J153" s="238">
        <v>0</v>
      </c>
      <c r="K153" s="239">
        <f>+IF(J153=0,0,IF(J153="","",VLOOKUP(J153,[9]PLANTILLA!$H$139:$I$191,2,0)))</f>
        <v>0</v>
      </c>
      <c r="L153" s="250"/>
      <c r="M153" s="247"/>
    </row>
    <row r="154" spans="2:13" s="243" customFormat="1" ht="72.75" customHeight="1" x14ac:dyDescent="0.2">
      <c r="B154" s="234"/>
      <c r="C154" s="235"/>
      <c r="D154" s="235"/>
      <c r="E154" s="236"/>
      <c r="F154" s="236"/>
      <c r="G154" s="236"/>
      <c r="H154" s="236"/>
      <c r="I154" s="237">
        <f t="shared" si="2"/>
        <v>0</v>
      </c>
      <c r="J154" s="238">
        <v>0</v>
      </c>
      <c r="K154" s="239">
        <f>+IF(J154=0,0,IF(J154="","",VLOOKUP(J154,[9]PLANTILLA!$H$139:$I$191,2,0)))</f>
        <v>0</v>
      </c>
      <c r="L154" s="250"/>
      <c r="M154" s="247"/>
    </row>
    <row r="155" spans="2:13" s="243" customFormat="1" ht="72.75" customHeight="1" x14ac:dyDescent="0.2">
      <c r="B155" s="234"/>
      <c r="C155" s="235"/>
      <c r="D155" s="235"/>
      <c r="E155" s="236"/>
      <c r="F155" s="236"/>
      <c r="G155" s="236"/>
      <c r="H155" s="236"/>
      <c r="I155" s="237">
        <f t="shared" si="2"/>
        <v>0</v>
      </c>
      <c r="J155" s="238">
        <v>0</v>
      </c>
      <c r="K155" s="239">
        <f>+IF(J155=0,0,IF(J155="","",VLOOKUP(J155,[9]PLANTILLA!$H$139:$I$191,2,0)))</f>
        <v>0</v>
      </c>
      <c r="L155" s="250"/>
      <c r="M155" s="247"/>
    </row>
    <row r="156" spans="2:13" s="243" customFormat="1" ht="72.75" customHeight="1" x14ac:dyDescent="0.2">
      <c r="B156" s="234"/>
      <c r="C156" s="235"/>
      <c r="D156" s="235"/>
      <c r="E156" s="236"/>
      <c r="F156" s="236"/>
      <c r="G156" s="236"/>
      <c r="H156" s="236"/>
      <c r="I156" s="237">
        <f t="shared" si="2"/>
        <v>0</v>
      </c>
      <c r="J156" s="238">
        <v>0</v>
      </c>
      <c r="K156" s="239">
        <f>+IF(J156=0,0,IF(J156="","",VLOOKUP(J156,[9]PLANTILLA!$H$139:$I$191,2,0)))</f>
        <v>0</v>
      </c>
      <c r="L156" s="250"/>
      <c r="M156" s="247"/>
    </row>
    <row r="157" spans="2:13" s="243" customFormat="1" ht="72.75" customHeight="1" x14ac:dyDescent="0.2">
      <c r="B157" s="234"/>
      <c r="C157" s="235"/>
      <c r="D157" s="235"/>
      <c r="E157" s="236"/>
      <c r="F157" s="236"/>
      <c r="G157" s="236"/>
      <c r="H157" s="236"/>
      <c r="I157" s="237">
        <f t="shared" si="2"/>
        <v>0</v>
      </c>
      <c r="J157" s="238">
        <v>0</v>
      </c>
      <c r="K157" s="239">
        <f>+IF(J157=0,0,IF(J157="","",VLOOKUP(J157,[9]PLANTILLA!$H$139:$I$191,2,0)))</f>
        <v>0</v>
      </c>
      <c r="L157" s="250"/>
      <c r="M157" s="247"/>
    </row>
    <row r="158" spans="2:13" s="243" customFormat="1" ht="72.75" customHeight="1" x14ac:dyDescent="0.2">
      <c r="B158" s="234"/>
      <c r="C158" s="235"/>
      <c r="D158" s="235"/>
      <c r="E158" s="236"/>
      <c r="F158" s="236"/>
      <c r="G158" s="236"/>
      <c r="H158" s="236"/>
      <c r="I158" s="237">
        <f t="shared" ref="I158:I161" si="3">+IF(J158=0,0,CONCATENATE(MID(J158,FIND("-",J158,1)+1,4),"ORAS"))</f>
        <v>0</v>
      </c>
      <c r="J158" s="238">
        <v>0</v>
      </c>
      <c r="K158" s="239">
        <f>+IF(J158=0,0,IF(J158="","",VLOOKUP(J158,[9]PLANTILLA!$H$139:$I$191,2,0)))</f>
        <v>0</v>
      </c>
      <c r="L158" s="250"/>
      <c r="M158" s="247"/>
    </row>
    <row r="159" spans="2:13" s="243" customFormat="1" ht="72.75" customHeight="1" x14ac:dyDescent="0.2">
      <c r="B159" s="234"/>
      <c r="C159" s="235"/>
      <c r="D159" s="235"/>
      <c r="E159" s="236"/>
      <c r="F159" s="236"/>
      <c r="G159" s="236"/>
      <c r="H159" s="236"/>
      <c r="I159" s="237">
        <f t="shared" si="3"/>
        <v>0</v>
      </c>
      <c r="J159" s="238">
        <v>0</v>
      </c>
      <c r="K159" s="239">
        <f>+IF(J159=0,0,IF(J159="","",VLOOKUP(J159,[9]PLANTILLA!$H$139:$I$191,2,0)))</f>
        <v>0</v>
      </c>
      <c r="L159" s="250"/>
      <c r="M159" s="247"/>
    </row>
    <row r="160" spans="2:13" s="243" customFormat="1" ht="72.75" customHeight="1" x14ac:dyDescent="0.2">
      <c r="B160" s="252"/>
      <c r="C160" s="235"/>
      <c r="D160" s="235"/>
      <c r="E160" s="236"/>
      <c r="F160" s="236"/>
      <c r="G160" s="236"/>
      <c r="H160" s="236"/>
      <c r="I160" s="237">
        <f t="shared" si="3"/>
        <v>0</v>
      </c>
      <c r="J160" s="238">
        <v>0</v>
      </c>
      <c r="K160" s="239">
        <f>+IF(J160=0,0,IF(J160="","",VLOOKUP(J160,[9]PLANTILLA!$H$139:$I$191,2,0)))</f>
        <v>0</v>
      </c>
      <c r="L160" s="250"/>
      <c r="M160" s="247"/>
    </row>
    <row r="161" spans="2:18" s="243" customFormat="1" ht="72.75" customHeight="1" x14ac:dyDescent="0.2">
      <c r="B161" s="234"/>
      <c r="C161" s="235"/>
      <c r="D161" s="235"/>
      <c r="E161" s="236"/>
      <c r="F161" s="236"/>
      <c r="G161" s="236"/>
      <c r="H161" s="236"/>
      <c r="I161" s="237">
        <f t="shared" si="3"/>
        <v>0</v>
      </c>
      <c r="J161" s="238">
        <v>0</v>
      </c>
      <c r="K161" s="239">
        <f>+IF(J161=0,0,IF(J161="","",VLOOKUP(J161,[9]PLANTILLA!$H$139:$I$191,2,0)))</f>
        <v>0</v>
      </c>
      <c r="L161" s="250"/>
      <c r="M161" s="247"/>
    </row>
    <row r="162" spans="2:18" ht="60" customHeight="1" thickBot="1" x14ac:dyDescent="0.3">
      <c r="B162" s="253"/>
      <c r="C162" s="253"/>
      <c r="D162" s="253"/>
      <c r="E162" s="254"/>
      <c r="F162" s="254"/>
      <c r="G162" s="254"/>
      <c r="H162" s="254"/>
      <c r="I162" s="410" t="s">
        <v>309</v>
      </c>
      <c r="J162" s="411"/>
      <c r="K162" s="255">
        <f>SUM(K83:K161)</f>
        <v>20960840</v>
      </c>
      <c r="L162" s="256"/>
      <c r="M162" s="257"/>
      <c r="N162" s="257"/>
      <c r="O162" s="257"/>
      <c r="P162" s="258"/>
    </row>
    <row r="163" spans="2:18" ht="33.200000000000003" customHeight="1" thickTop="1" thickBot="1" x14ac:dyDescent="0.25">
      <c r="F163" s="259"/>
      <c r="H163" s="3" t="s">
        <v>272</v>
      </c>
      <c r="L163" s="260" t="s">
        <v>272</v>
      </c>
      <c r="M163" s="257"/>
      <c r="N163" s="257"/>
      <c r="O163" s="257"/>
    </row>
    <row r="164" spans="2:18" ht="45" customHeight="1" thickBot="1" x14ac:dyDescent="0.3">
      <c r="B164" s="261"/>
      <c r="C164" s="262"/>
      <c r="D164" s="263"/>
      <c r="E164" s="412" t="s">
        <v>310</v>
      </c>
      <c r="F164" s="412"/>
      <c r="G164" s="412"/>
      <c r="H164" s="412"/>
      <c r="I164" s="413">
        <f>K162+G79+G80+M82</f>
        <v>151120183</v>
      </c>
      <c r="J164" s="413"/>
      <c r="K164" s="413"/>
      <c r="L164" s="413"/>
      <c r="M164" s="414"/>
      <c r="N164" s="414"/>
      <c r="O164" s="264"/>
      <c r="P164" s="264"/>
      <c r="Q164" s="265"/>
      <c r="R164" s="266"/>
    </row>
    <row r="165" spans="2:18" ht="11.85" customHeight="1" x14ac:dyDescent="0.2">
      <c r="B165" s="263"/>
      <c r="C165" s="263"/>
      <c r="D165" s="263"/>
      <c r="E165" s="415" t="s">
        <v>272</v>
      </c>
      <c r="F165" s="415"/>
      <c r="G165" s="415"/>
      <c r="H165" s="415"/>
      <c r="I165" s="415"/>
      <c r="J165" s="416"/>
      <c r="K165" s="416"/>
      <c r="L165" s="416"/>
    </row>
    <row r="166" spans="2:18" ht="26.1" customHeight="1" x14ac:dyDescent="0.2">
      <c r="H166" s="267"/>
      <c r="I166" s="268"/>
      <c r="J166" s="269"/>
      <c r="K166" s="270"/>
    </row>
    <row r="167" spans="2:18" ht="25.5" customHeight="1" x14ac:dyDescent="0.2">
      <c r="H167" s="267"/>
      <c r="I167" s="268"/>
      <c r="J167" s="269"/>
    </row>
    <row r="168" spans="2:18" ht="25.5" customHeight="1" x14ac:dyDescent="0.2">
      <c r="H168" s="267"/>
      <c r="I168" s="268"/>
      <c r="J168" s="269"/>
    </row>
    <row r="169" spans="2:18" ht="63" customHeight="1" x14ac:dyDescent="0.35">
      <c r="C169" s="419" t="s">
        <v>311</v>
      </c>
      <c r="D169" s="419"/>
      <c r="E169" s="420"/>
      <c r="F169" s="420"/>
    </row>
    <row r="170" spans="2:18" ht="40.700000000000003" customHeight="1" x14ac:dyDescent="0.35">
      <c r="C170" s="419" t="s">
        <v>312</v>
      </c>
      <c r="D170" s="419"/>
      <c r="E170" s="419" t="s">
        <v>313</v>
      </c>
      <c r="F170" s="419"/>
      <c r="J170" s="271"/>
      <c r="K170" s="271"/>
      <c r="M170" s="272"/>
    </row>
    <row r="171" spans="2:18" ht="38.450000000000003" customHeight="1" x14ac:dyDescent="0.35">
      <c r="L171" s="273"/>
    </row>
    <row r="172" spans="2:18" ht="26.1" customHeight="1" x14ac:dyDescent="0.45">
      <c r="F172" s="266"/>
      <c r="M172" s="274"/>
      <c r="N172" s="275"/>
    </row>
    <row r="173" spans="2:18" ht="26.1" customHeight="1" x14ac:dyDescent="0.35">
      <c r="K173" s="276"/>
    </row>
    <row r="174" spans="2:18" ht="26.1" customHeight="1" x14ac:dyDescent="0.2">
      <c r="J174" s="409"/>
      <c r="K174" s="409"/>
      <c r="L174" s="409"/>
      <c r="M174" s="409"/>
    </row>
    <row r="175" spans="2:18" ht="26.1" customHeight="1" x14ac:dyDescent="0.2">
      <c r="J175" s="277"/>
      <c r="K175" s="277"/>
      <c r="L175" s="122"/>
      <c r="M175" s="278"/>
    </row>
    <row r="176" spans="2:18" ht="26.1" customHeight="1" x14ac:dyDescent="0.2">
      <c r="J176" s="409"/>
      <c r="K176" s="409"/>
      <c r="L176" s="409"/>
      <c r="M176" s="409"/>
    </row>
    <row r="65455" ht="12.75" customHeight="1" x14ac:dyDescent="0.2"/>
    <row r="65456" ht="12.75" customHeight="1" x14ac:dyDescent="0.2"/>
    <row r="65457" ht="12.75" customHeight="1" x14ac:dyDescent="0.2"/>
    <row r="65458" ht="12.75" customHeight="1" x14ac:dyDescent="0.2"/>
    <row r="65459" ht="12.75" customHeight="1" x14ac:dyDescent="0.2"/>
    <row r="65460" ht="12.75" customHeight="1" x14ac:dyDescent="0.2"/>
    <row r="65461" ht="12.75" customHeight="1" x14ac:dyDescent="0.2"/>
    <row r="65462" ht="12.75" customHeight="1" x14ac:dyDescent="0.2"/>
    <row r="65463" ht="12.75" customHeight="1" x14ac:dyDescent="0.2"/>
    <row r="65464" ht="12.75" customHeight="1" x14ac:dyDescent="0.2"/>
    <row r="65465" ht="12.75" customHeight="1" x14ac:dyDescent="0.2"/>
    <row r="65466" ht="12.75" customHeight="1" x14ac:dyDescent="0.2"/>
    <row r="65467" ht="12.75" customHeight="1" x14ac:dyDescent="0.2"/>
    <row r="65468" ht="12.75" customHeight="1" x14ac:dyDescent="0.2"/>
    <row r="65469" ht="12.75" customHeight="1" x14ac:dyDescent="0.2"/>
    <row r="65470" ht="12.75" customHeight="1" x14ac:dyDescent="0.2"/>
    <row r="65471" ht="12.75" customHeight="1" x14ac:dyDescent="0.2"/>
    <row r="65472" ht="12.75" customHeight="1" x14ac:dyDescent="0.2"/>
    <row r="65473" ht="12.75" customHeight="1" x14ac:dyDescent="0.2"/>
    <row r="65474" ht="12.75" customHeight="1" x14ac:dyDescent="0.2"/>
    <row r="65475" ht="12.75" customHeight="1" x14ac:dyDescent="0.2"/>
    <row r="65476" ht="12.75" customHeight="1" x14ac:dyDescent="0.2"/>
    <row r="65477" ht="12.75" customHeight="1" x14ac:dyDescent="0.2"/>
    <row r="65478" ht="12.75" customHeight="1" x14ac:dyDescent="0.2"/>
    <row r="65479" ht="12.75" customHeight="1" x14ac:dyDescent="0.2"/>
    <row r="65480" ht="12.75" customHeight="1" x14ac:dyDescent="0.2"/>
    <row r="65481" ht="12.75" customHeight="1" x14ac:dyDescent="0.2"/>
    <row r="65482" ht="12.75" customHeight="1" x14ac:dyDescent="0.2"/>
    <row r="65483" ht="12.75" customHeight="1" x14ac:dyDescent="0.2"/>
    <row r="65484" ht="12.75" customHeight="1" x14ac:dyDescent="0.2"/>
    <row r="65485" ht="12.75" customHeight="1" x14ac:dyDescent="0.2"/>
    <row r="65486" ht="12.75" customHeight="1" x14ac:dyDescent="0.2"/>
    <row r="65487" ht="12.75" customHeight="1" x14ac:dyDescent="0.2"/>
    <row r="65488" ht="12.75" customHeight="1" x14ac:dyDescent="0.2"/>
    <row r="65489" ht="12.75" customHeight="1" x14ac:dyDescent="0.2"/>
    <row r="65490" ht="12.75" customHeight="1" x14ac:dyDescent="0.2"/>
    <row r="65491" ht="12.75" customHeight="1" x14ac:dyDescent="0.2"/>
    <row r="65492" ht="12.75" customHeight="1" x14ac:dyDescent="0.2"/>
    <row r="65493" ht="12.75" customHeight="1" x14ac:dyDescent="0.2"/>
    <row r="65494" ht="12.75" customHeight="1" x14ac:dyDescent="0.2"/>
    <row r="65495" ht="12.75" customHeight="1" x14ac:dyDescent="0.2"/>
    <row r="65496" ht="12.75" customHeight="1" x14ac:dyDescent="0.2"/>
    <row r="65497" ht="12.75" customHeight="1" x14ac:dyDescent="0.2"/>
    <row r="65498" ht="12.75" customHeight="1" x14ac:dyDescent="0.2"/>
    <row r="65499" ht="12.75" customHeight="1" x14ac:dyDescent="0.2"/>
    <row r="65500" ht="12.75" customHeight="1" x14ac:dyDescent="0.2"/>
    <row r="65501" ht="12.75" customHeight="1" x14ac:dyDescent="0.2"/>
    <row r="65502" ht="12.75" customHeight="1" x14ac:dyDescent="0.2"/>
    <row r="65503" ht="12.75" customHeight="1" x14ac:dyDescent="0.2"/>
    <row r="65504" ht="12.75" customHeight="1" x14ac:dyDescent="0.2"/>
    <row r="65505" ht="12.75" customHeight="1" x14ac:dyDescent="0.2"/>
    <row r="65506" ht="12.75" customHeight="1" x14ac:dyDescent="0.2"/>
    <row r="65507" ht="12.75" customHeight="1" x14ac:dyDescent="0.2"/>
    <row r="65508" ht="12.75" customHeight="1" x14ac:dyDescent="0.2"/>
    <row r="65509" ht="12.75" customHeight="1" x14ac:dyDescent="0.2"/>
    <row r="65510" ht="12.75" customHeight="1" x14ac:dyDescent="0.2"/>
    <row r="65511" ht="12.75" customHeight="1" x14ac:dyDescent="0.2"/>
    <row r="65512" ht="12.75" customHeight="1" x14ac:dyDescent="0.2"/>
    <row r="65513" ht="12.75" customHeight="1" x14ac:dyDescent="0.2"/>
    <row r="65514" ht="12.75" customHeight="1" x14ac:dyDescent="0.2"/>
    <row r="65515" ht="12.75" customHeight="1" x14ac:dyDescent="0.2"/>
    <row r="65516" ht="12.75" customHeight="1" x14ac:dyDescent="0.2"/>
    <row r="65517" ht="12.75" customHeight="1" x14ac:dyDescent="0.2"/>
    <row r="65518" ht="12.75" customHeight="1" x14ac:dyDescent="0.2"/>
    <row r="65519" ht="12.75" customHeight="1" x14ac:dyDescent="0.2"/>
    <row r="65520" ht="12.75" customHeight="1" x14ac:dyDescent="0.2"/>
    <row r="65521" ht="12.75" customHeight="1" x14ac:dyDescent="0.2"/>
    <row r="65522" ht="12.75" customHeight="1" x14ac:dyDescent="0.2"/>
    <row r="65523" ht="12.75" customHeight="1" x14ac:dyDescent="0.2"/>
    <row r="65524" ht="12.75" customHeight="1" x14ac:dyDescent="0.2"/>
    <row r="65525" ht="12.75" customHeight="1" x14ac:dyDescent="0.2"/>
    <row r="65526" ht="12.75" customHeight="1" x14ac:dyDescent="0.2"/>
    <row r="65527" ht="12.75" customHeight="1" x14ac:dyDescent="0.2"/>
    <row r="65528" ht="12.75" customHeight="1" x14ac:dyDescent="0.2"/>
    <row r="65529" ht="12.75" customHeight="1" x14ac:dyDescent="0.2"/>
    <row r="65530" ht="12.75" customHeight="1" x14ac:dyDescent="0.2"/>
    <row r="65531" ht="12.75" customHeight="1" x14ac:dyDescent="0.2"/>
    <row r="65532" ht="12.75" customHeight="1" x14ac:dyDescent="0.2"/>
    <row r="65533" ht="12.75" customHeight="1" x14ac:dyDescent="0.2"/>
    <row r="65534" ht="12.75" customHeight="1" x14ac:dyDescent="0.2"/>
    <row r="65535" ht="12.75" customHeight="1" x14ac:dyDescent="0.2"/>
    <row r="65536" ht="12.75" customHeight="1" x14ac:dyDescent="0.2"/>
    <row r="65537" ht="12.75" customHeight="1" x14ac:dyDescent="0.2"/>
    <row r="65538" ht="12.75" customHeight="1" x14ac:dyDescent="0.2"/>
    <row r="65539" ht="12.75" customHeight="1" x14ac:dyDescent="0.2"/>
    <row r="65540" ht="12.75" customHeight="1" x14ac:dyDescent="0.2"/>
    <row r="65541" ht="12.75" customHeight="1" x14ac:dyDescent="0.2"/>
    <row r="65542" ht="12.75" customHeight="1" x14ac:dyDescent="0.2"/>
    <row r="65543" ht="12.75" customHeight="1" x14ac:dyDescent="0.2"/>
    <row r="65544" ht="12.75" customHeight="1" x14ac:dyDescent="0.2"/>
    <row r="65545" ht="12.75" customHeight="1" x14ac:dyDescent="0.2"/>
    <row r="65546" ht="12.75" customHeight="1" x14ac:dyDescent="0.2"/>
    <row r="65547" ht="12.75" customHeight="1" x14ac:dyDescent="0.2"/>
    <row r="65548" ht="12.75" customHeight="1" x14ac:dyDescent="0.2"/>
    <row r="65549" ht="12.75" customHeight="1" x14ac:dyDescent="0.2"/>
    <row r="65550" ht="12.75" customHeight="1" x14ac:dyDescent="0.2"/>
    <row r="65551" ht="12.75" customHeight="1" x14ac:dyDescent="0.2"/>
    <row r="65552" ht="12.75" customHeight="1" x14ac:dyDescent="0.2"/>
    <row r="65553" ht="12.75" customHeight="1" x14ac:dyDescent="0.2"/>
    <row r="65554" ht="12.75" customHeight="1" x14ac:dyDescent="0.2"/>
    <row r="65555" ht="12.75" customHeight="1" x14ac:dyDescent="0.2"/>
    <row r="65556" ht="12.75" customHeight="1" x14ac:dyDescent="0.2"/>
    <row r="65557" ht="12.75" customHeight="1" x14ac:dyDescent="0.2"/>
    <row r="65558" ht="12.75" customHeight="1" x14ac:dyDescent="0.2"/>
    <row r="65559" ht="12.75" customHeight="1" x14ac:dyDescent="0.2"/>
    <row r="65560" ht="12.75" customHeight="1" x14ac:dyDescent="0.2"/>
    <row r="65561" ht="12.75" customHeight="1" x14ac:dyDescent="0.2"/>
    <row r="65562" ht="12.75" customHeight="1" x14ac:dyDescent="0.2"/>
    <row r="65563" ht="12.75" customHeight="1" x14ac:dyDescent="0.2"/>
    <row r="65564" ht="12.75" customHeight="1" x14ac:dyDescent="0.2"/>
    <row r="65565" ht="12.75" customHeight="1" x14ac:dyDescent="0.2"/>
  </sheetData>
  <sheetProtection selectLockedCells="1" selectUnlockedCells="1"/>
  <autoFilter ref="G82:G165" xr:uid="{2C8FEF9D-4AA8-7B44-8C4B-821782F8B3C3}"/>
  <mergeCells count="55">
    <mergeCell ref="B81:K81"/>
    <mergeCell ref="C169:D169"/>
    <mergeCell ref="E169:F169"/>
    <mergeCell ref="C170:D170"/>
    <mergeCell ref="E170:F170"/>
    <mergeCell ref="J176:M176"/>
    <mergeCell ref="I162:J162"/>
    <mergeCell ref="E164:H164"/>
    <mergeCell ref="I164:L164"/>
    <mergeCell ref="M164:N164"/>
    <mergeCell ref="E165:I165"/>
    <mergeCell ref="J165:L165"/>
    <mergeCell ref="J174:M174"/>
    <mergeCell ref="K72:K75"/>
    <mergeCell ref="L73:L74"/>
    <mergeCell ref="M73:M74"/>
    <mergeCell ref="G79:J79"/>
    <mergeCell ref="G80:J80"/>
    <mergeCell ref="M64:M65"/>
    <mergeCell ref="B68:J68"/>
    <mergeCell ref="K68:K71"/>
    <mergeCell ref="K45:K48"/>
    <mergeCell ref="L46:L47"/>
    <mergeCell ref="M46:M47"/>
    <mergeCell ref="B50:J50"/>
    <mergeCell ref="K50:K53"/>
    <mergeCell ref="K54:K57"/>
    <mergeCell ref="L55:L56"/>
    <mergeCell ref="M55:M56"/>
    <mergeCell ref="B59:J59"/>
    <mergeCell ref="K59:K62"/>
    <mergeCell ref="K63:K66"/>
    <mergeCell ref="L64:L65"/>
    <mergeCell ref="B41:J41"/>
    <mergeCell ref="K41:K44"/>
    <mergeCell ref="K18:K21"/>
    <mergeCell ref="L19:L20"/>
    <mergeCell ref="M19:M20"/>
    <mergeCell ref="B23:J23"/>
    <mergeCell ref="K23:K26"/>
    <mergeCell ref="K27:K30"/>
    <mergeCell ref="L28:L29"/>
    <mergeCell ref="M28:M29"/>
    <mergeCell ref="B32:J32"/>
    <mergeCell ref="K32:K35"/>
    <mergeCell ref="K36:K39"/>
    <mergeCell ref="L37:L38"/>
    <mergeCell ref="M37:M38"/>
    <mergeCell ref="B14:J14"/>
    <mergeCell ref="K14:K17"/>
    <mergeCell ref="B1:J1"/>
    <mergeCell ref="B2:J2"/>
    <mergeCell ref="B5:J5"/>
    <mergeCell ref="K5:K8"/>
    <mergeCell ref="K9:K12"/>
  </mergeCells>
  <dataValidations count="3">
    <dataValidation type="time" operator="greaterThanOrEqual" allowBlank="1" showInputMessage="1" showErrorMessage="1" sqref="C83:D161" xr:uid="{CC4184C3-F829-0948-8D56-FD56A757D488}">
      <formula1>0</formula1>
    </dataValidation>
    <dataValidation type="list" allowBlank="1" showInputMessage="1" showErrorMessage="1" sqref="I166:I168" xr:uid="{9F653975-33B2-E74E-8A64-A101189AE893}">
      <formula1>$E$201:$E$204</formula1>
    </dataValidation>
    <dataValidation type="list" allowBlank="1" showInputMessage="1" showErrorMessage="1" sqref="H166:H168" xr:uid="{47D4FABF-50E3-A447-B6B0-2B5ABEFBD8BF}">
      <formula1>$I$200:$I$242</formula1>
    </dataValidation>
  </dataValidations>
  <pageMargins left="0.39374999999999999" right="0.39374999999999999" top="0.63124999999999998" bottom="0.63124999999999998" header="0.39374999999999999" footer="0.39374999999999999"/>
  <pageSetup paperSize="14" scale="10" firstPageNumber="0" orientation="landscape" horizontalDpi="300" verticalDpi="300" r:id="rId1"/>
  <headerFooter alignWithMargins="0">
    <oddHeader>&amp;C&amp;A</oddHeader>
    <oddFooter>&amp;CPágina &amp;P</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B50354B-7FCC-7E44-9F89-59572184AF08}">
          <x14:formula1>
            <xm:f>PLANTILLA!$H$139:$H$191</xm:f>
          </x14:formula1>
          <xm:sqref>J83:J161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6B129-54F8-814A-ACC0-FA3F1DD21DCC}">
  <dimension ref="A1:L107"/>
  <sheetViews>
    <sheetView topLeftCell="A86" zoomScale="150" zoomScaleNormal="150" workbookViewId="0">
      <selection activeCell="D96" sqref="D96"/>
    </sheetView>
  </sheetViews>
  <sheetFormatPr baseColWidth="10" defaultRowHeight="15" x14ac:dyDescent="0.25"/>
  <cols>
    <col min="3" max="4" width="26.42578125" customWidth="1"/>
    <col min="5" max="5" width="19.85546875" customWidth="1"/>
    <col min="7" max="7" width="14.85546875" customWidth="1"/>
    <col min="8" max="8" width="13.85546875" customWidth="1"/>
    <col min="9" max="9" width="17.42578125" customWidth="1"/>
    <col min="10" max="10" width="20.28515625" customWidth="1"/>
    <col min="11" max="11" width="18.42578125" customWidth="1"/>
    <col min="12" max="12" width="18.28515625" customWidth="1"/>
    <col min="13" max="13" width="16.28515625" customWidth="1"/>
    <col min="14" max="14" width="31" customWidth="1"/>
    <col min="15" max="15" width="26.42578125" customWidth="1"/>
  </cols>
  <sheetData>
    <row r="1" spans="1:12" ht="18" customHeight="1" x14ac:dyDescent="0.25">
      <c r="A1" s="424" t="s">
        <v>314</v>
      </c>
      <c r="B1" s="424"/>
      <c r="C1" s="424"/>
      <c r="D1" s="424"/>
      <c r="E1" s="424"/>
      <c r="F1" s="279"/>
    </row>
    <row r="2" spans="1:12" ht="30" x14ac:dyDescent="0.25">
      <c r="A2" s="280" t="s">
        <v>315</v>
      </c>
      <c r="B2" s="280" t="s">
        <v>316</v>
      </c>
      <c r="C2" s="280" t="s">
        <v>317</v>
      </c>
      <c r="D2" s="280" t="s">
        <v>318</v>
      </c>
      <c r="E2" s="280" t="s">
        <v>319</v>
      </c>
      <c r="F2" s="279"/>
      <c r="G2" s="281" t="s">
        <v>320</v>
      </c>
    </row>
    <row r="3" spans="1:12" x14ac:dyDescent="0.25">
      <c r="A3" s="282">
        <v>6539</v>
      </c>
      <c r="B3" s="282">
        <v>7850</v>
      </c>
      <c r="C3" s="283">
        <v>50000000</v>
      </c>
      <c r="D3" s="283">
        <f>'[10]INFORME FINAL AGOSTO'!K86+'[10]INFORME FINAL AGOSTO'!K87+'[10]INFORME FINAL AGOSTO'!K107+'[10]INFORME FINAL AGOSTO'!K108+'[10]INFORME FINAL AGOSTO'!K109+'[10]INFORME FINAL AGOSTO'!K110</f>
        <v>2559462</v>
      </c>
      <c r="E3" s="284">
        <f>C3-D3</f>
        <v>47440538</v>
      </c>
      <c r="F3" s="279"/>
    </row>
    <row r="4" spans="1:12" x14ac:dyDescent="0.25">
      <c r="A4" s="282">
        <v>6540</v>
      </c>
      <c r="B4" s="282">
        <v>7851</v>
      </c>
      <c r="C4" s="283">
        <v>60000000</v>
      </c>
      <c r="D4" s="283">
        <f>'[10]INFORME FINAL AGOSTO'!K85+'[10]INFORME FINAL AGOSTO'!K91+'[10]INFORME FINAL AGOSTO'!K92+'[10]INFORME FINAL AGOSTO'!K93+'[10]INFORME FINAL AGOSTO'!K94+'[10]INFORME FINAL AGOSTO'!K95+'[10]INFORME FINAL AGOSTO'!K96+'[10]INFORME FINAL AGOSTO'!K97+'[10]INFORME FINAL AGOSTO'!K98+'[10]INFORME FINAL AGOSTO'!K99+'[10]INFORME FINAL AGOSTO'!K100+'[10]INFORME FINAL AGOSTO'!K101+'[10]INFORME FINAL AGOSTO'!K102+'[10]INFORME FINAL AGOSTO'!K103+'[10]INFORME FINAL AGOSTO'!K104+'[10]INFORME FINAL AGOSTO'!K106</f>
        <v>4468803</v>
      </c>
      <c r="E4" s="284">
        <f>C4-D4</f>
        <v>55531197</v>
      </c>
      <c r="F4" s="279"/>
    </row>
    <row r="5" spans="1:12" x14ac:dyDescent="0.25">
      <c r="A5" s="282">
        <v>6538</v>
      </c>
      <c r="B5" s="282">
        <v>7852</v>
      </c>
      <c r="C5" s="283">
        <v>1271023000</v>
      </c>
      <c r="D5" s="283">
        <f>'[10]INFORME FINAL AGOSTO'!M11+'[10]INFORME FINAL AGOSTO'!K74+'[10]INFORME FINAL AGOSTO'!K75+'[10]INFORME FINAL AGOSTO'!K76+'[10]INFORME FINAL AGOSTO'!K77+'[10]INFORME FINAL AGOSTO'!K78+'[10]INFORME FINAL AGOSTO'!K79+'[10]INFORME FINAL AGOSTO'!K80+'[10]INFORME FINAL AGOSTO'!K81+'[10]INFORME FINAL AGOSTO'!K82+'[10]INFORME FINAL AGOSTO'!K83+'[10]INFORME FINAL AGOSTO'!K84+'[10]INFORME FINAL AGOSTO'!K88+'[10]INFORME FINAL AGOSTO'!K89+'[10]INFORME FINAL AGOSTO'!K90</f>
        <v>112482201</v>
      </c>
      <c r="E5" s="284">
        <f>C5-D5</f>
        <v>1158540799</v>
      </c>
      <c r="F5" s="279"/>
    </row>
    <row r="6" spans="1:12" x14ac:dyDescent="0.25">
      <c r="A6" s="282">
        <v>6542</v>
      </c>
      <c r="B6" s="282">
        <v>7854</v>
      </c>
      <c r="C6" s="283">
        <v>10300000</v>
      </c>
      <c r="D6" s="283">
        <v>0</v>
      </c>
      <c r="E6" s="284">
        <f>C6-D6</f>
        <v>10300000</v>
      </c>
      <c r="F6" s="279"/>
    </row>
    <row r="7" spans="1:12" x14ac:dyDescent="0.25">
      <c r="A7" s="282">
        <v>6541</v>
      </c>
      <c r="B7" s="282" t="s">
        <v>307</v>
      </c>
      <c r="C7" s="283">
        <v>7000000</v>
      </c>
      <c r="D7" s="283">
        <f>'[10]INFORME FINAL AGOSTO'!K105+'[10]INFORME FINAL AGOSTO'!K111</f>
        <v>581682</v>
      </c>
      <c r="E7" s="284">
        <f>C7-D7</f>
        <v>6418318</v>
      </c>
      <c r="F7" s="279"/>
    </row>
    <row r="8" spans="1:12" x14ac:dyDescent="0.25">
      <c r="A8" s="423" t="s">
        <v>321</v>
      </c>
      <c r="B8" s="423"/>
      <c r="C8" s="423"/>
      <c r="D8" s="423"/>
      <c r="E8" s="285">
        <f>SUM(E3:E7)</f>
        <v>1278230852</v>
      </c>
      <c r="F8" s="286"/>
    </row>
    <row r="9" spans="1:12" x14ac:dyDescent="0.25">
      <c r="A9" s="279"/>
      <c r="B9" s="279"/>
      <c r="C9" s="287">
        <f>SUM(C3:C7)</f>
        <v>1398323000</v>
      </c>
      <c r="D9" s="288">
        <f>SUM(D3:D7)</f>
        <v>120092148</v>
      </c>
      <c r="E9" s="289"/>
      <c r="F9" s="279"/>
    </row>
    <row r="10" spans="1:12" x14ac:dyDescent="0.25">
      <c r="A10" s="424" t="s">
        <v>314</v>
      </c>
      <c r="B10" s="424"/>
      <c r="C10" s="424"/>
      <c r="D10" s="424"/>
      <c r="E10" s="424"/>
      <c r="F10" s="279"/>
      <c r="I10" t="s">
        <v>322</v>
      </c>
      <c r="J10" t="s">
        <v>323</v>
      </c>
      <c r="K10" t="s">
        <v>324</v>
      </c>
      <c r="L10" t="s">
        <v>325</v>
      </c>
    </row>
    <row r="11" spans="1:12" x14ac:dyDescent="0.25">
      <c r="A11" s="280" t="s">
        <v>315</v>
      </c>
      <c r="B11" s="280" t="s">
        <v>316</v>
      </c>
      <c r="C11" s="280" t="s">
        <v>317</v>
      </c>
      <c r="D11" s="280" t="s">
        <v>326</v>
      </c>
      <c r="E11" s="280" t="s">
        <v>319</v>
      </c>
      <c r="F11" s="279"/>
      <c r="I11" s="290">
        <f>E35</f>
        <v>873855857</v>
      </c>
      <c r="J11" s="291">
        <f>AVERAGE(D9,D18,D27,D36)</f>
        <v>131116785.75</v>
      </c>
      <c r="K11" s="292">
        <f>I11/J11</f>
        <v>6.664713842712545</v>
      </c>
      <c r="L11" s="293">
        <v>45047</v>
      </c>
    </row>
    <row r="12" spans="1:12" x14ac:dyDescent="0.25">
      <c r="A12" s="282">
        <v>6539</v>
      </c>
      <c r="B12" s="282">
        <v>7850</v>
      </c>
      <c r="C12" s="294">
        <f>E3</f>
        <v>47440538</v>
      </c>
      <c r="D12" s="283">
        <v>10993500</v>
      </c>
      <c r="E12" s="295">
        <f>C12-D12</f>
        <v>36447038</v>
      </c>
      <c r="F12" s="279"/>
    </row>
    <row r="13" spans="1:12" x14ac:dyDescent="0.25">
      <c r="A13" s="282">
        <v>6540</v>
      </c>
      <c r="B13" s="282">
        <v>7851</v>
      </c>
      <c r="C13" s="294">
        <f>E4</f>
        <v>55531197</v>
      </c>
      <c r="D13" s="283">
        <v>1308114</v>
      </c>
      <c r="E13" s="295">
        <f>C13-D13</f>
        <v>54223083</v>
      </c>
      <c r="F13" s="279"/>
    </row>
    <row r="14" spans="1:12" x14ac:dyDescent="0.25">
      <c r="A14" s="282">
        <v>6538</v>
      </c>
      <c r="B14" s="282">
        <v>7852</v>
      </c>
      <c r="C14" s="294">
        <f>E5</f>
        <v>1158540799</v>
      </c>
      <c r="D14" s="283">
        <v>102752853</v>
      </c>
      <c r="E14" s="295">
        <f>C14-D14</f>
        <v>1055787946</v>
      </c>
      <c r="F14" s="279"/>
    </row>
    <row r="15" spans="1:12" x14ac:dyDescent="0.25">
      <c r="A15" s="282">
        <v>6542</v>
      </c>
      <c r="B15" s="282">
        <v>7854</v>
      </c>
      <c r="C15" s="294">
        <f>E6</f>
        <v>10300000</v>
      </c>
      <c r="D15" s="283">
        <v>1129245</v>
      </c>
      <c r="E15" s="295">
        <f>C15-D15</f>
        <v>9170755</v>
      </c>
      <c r="F15" s="279"/>
    </row>
    <row r="16" spans="1:12" x14ac:dyDescent="0.25">
      <c r="A16" s="282">
        <v>6541</v>
      </c>
      <c r="B16" s="282" t="s">
        <v>307</v>
      </c>
      <c r="C16" s="294">
        <f>E7</f>
        <v>6418318</v>
      </c>
      <c r="D16" s="283">
        <v>1402218</v>
      </c>
      <c r="E16" s="295">
        <f>C16-D16</f>
        <v>5016100</v>
      </c>
      <c r="F16" s="279"/>
    </row>
    <row r="17" spans="1:10" x14ac:dyDescent="0.25">
      <c r="A17" s="423" t="s">
        <v>321</v>
      </c>
      <c r="B17" s="423"/>
      <c r="C17" s="423"/>
      <c r="D17" s="423"/>
      <c r="E17" s="285">
        <f>SUM(E12:E16)</f>
        <v>1160644922</v>
      </c>
      <c r="F17" s="296"/>
    </row>
    <row r="18" spans="1:10" x14ac:dyDescent="0.25">
      <c r="A18" s="279"/>
      <c r="B18" s="279"/>
      <c r="C18" s="287">
        <f>SUM(C12:C16)</f>
        <v>1278230852</v>
      </c>
      <c r="D18" s="288">
        <f>SUM(D12:D16)</f>
        <v>117585930</v>
      </c>
      <c r="E18" s="289"/>
    </row>
    <row r="19" spans="1:10" x14ac:dyDescent="0.25">
      <c r="A19" s="424" t="s">
        <v>314</v>
      </c>
      <c r="B19" s="424"/>
      <c r="C19" s="424"/>
      <c r="D19" s="424"/>
      <c r="E19" s="424"/>
    </row>
    <row r="20" spans="1:10" x14ac:dyDescent="0.25">
      <c r="A20" s="280" t="s">
        <v>315</v>
      </c>
      <c r="B20" s="280" t="s">
        <v>316</v>
      </c>
      <c r="C20" s="280" t="s">
        <v>317</v>
      </c>
      <c r="D20" s="280" t="s">
        <v>327</v>
      </c>
      <c r="E20" s="280" t="s">
        <v>319</v>
      </c>
    </row>
    <row r="21" spans="1:10" x14ac:dyDescent="0.25">
      <c r="A21" s="282">
        <v>6539</v>
      </c>
      <c r="B21" s="282">
        <v>7850</v>
      </c>
      <c r="C21" s="294">
        <f>E12</f>
        <v>36447038</v>
      </c>
      <c r="D21" s="297">
        <v>5750775</v>
      </c>
      <c r="E21" s="295">
        <f>C21-D21</f>
        <v>30696263</v>
      </c>
      <c r="G21" s="291">
        <v>40455</v>
      </c>
    </row>
    <row r="22" spans="1:10" x14ac:dyDescent="0.25">
      <c r="A22" s="282">
        <v>6540</v>
      </c>
      <c r="B22" s="282">
        <v>7851</v>
      </c>
      <c r="C22" s="294">
        <f>E13</f>
        <v>54223083</v>
      </c>
      <c r="D22" s="297">
        <v>1674612</v>
      </c>
      <c r="E22" s="295">
        <f>C22-D22</f>
        <v>52548471</v>
      </c>
    </row>
    <row r="23" spans="1:10" x14ac:dyDescent="0.25">
      <c r="A23" s="282">
        <v>6538</v>
      </c>
      <c r="B23" s="282">
        <v>7852</v>
      </c>
      <c r="C23" s="294">
        <f>E14</f>
        <v>1055787946</v>
      </c>
      <c r="D23" s="283">
        <v>131977619</v>
      </c>
      <c r="E23" s="295">
        <f>C23-D23</f>
        <v>923810327</v>
      </c>
      <c r="G23" s="291">
        <v>190278</v>
      </c>
      <c r="J23" s="298"/>
    </row>
    <row r="24" spans="1:10" x14ac:dyDescent="0.25">
      <c r="A24" s="282">
        <v>6542</v>
      </c>
      <c r="B24" s="282">
        <v>7854</v>
      </c>
      <c r="C24" s="294">
        <f>E15</f>
        <v>9170755</v>
      </c>
      <c r="D24" s="297">
        <v>2610108</v>
      </c>
      <c r="E24" s="295">
        <f>C24-D24</f>
        <v>6560647</v>
      </c>
    </row>
    <row r="25" spans="1:10" x14ac:dyDescent="0.25">
      <c r="A25" s="282">
        <v>6541</v>
      </c>
      <c r="B25" s="282" t="s">
        <v>307</v>
      </c>
      <c r="C25" s="294">
        <f>E16</f>
        <v>5016100</v>
      </c>
      <c r="D25" s="283">
        <v>290841</v>
      </c>
      <c r="E25" s="295">
        <f>C25-D25</f>
        <v>4725259</v>
      </c>
    </row>
    <row r="26" spans="1:10" x14ac:dyDescent="0.25">
      <c r="A26" s="423" t="s">
        <v>321</v>
      </c>
      <c r="B26" s="423"/>
      <c r="C26" s="423"/>
      <c r="D26" s="423"/>
      <c r="E26" s="285">
        <f>SUM(E21:E25)</f>
        <v>1018340967</v>
      </c>
      <c r="F26" s="296"/>
    </row>
    <row r="27" spans="1:10" x14ac:dyDescent="0.25">
      <c r="C27" s="299">
        <f>SUM(C21:C25)</f>
        <v>1160644922</v>
      </c>
      <c r="D27" s="288">
        <f>SUM(D21:D25)</f>
        <v>142303955</v>
      </c>
    </row>
    <row r="28" spans="1:10" x14ac:dyDescent="0.25">
      <c r="A28" s="424" t="s">
        <v>314</v>
      </c>
      <c r="B28" s="424"/>
      <c r="C28" s="424"/>
      <c r="D28" s="424"/>
      <c r="E28" s="424"/>
    </row>
    <row r="29" spans="1:10" x14ac:dyDescent="0.25">
      <c r="A29" s="280" t="s">
        <v>315</v>
      </c>
      <c r="B29" s="280" t="s">
        <v>316</v>
      </c>
      <c r="C29" s="280" t="s">
        <v>317</v>
      </c>
      <c r="D29" s="280" t="s">
        <v>328</v>
      </c>
      <c r="E29" s="280" t="s">
        <v>319</v>
      </c>
    </row>
    <row r="30" spans="1:10" x14ac:dyDescent="0.25">
      <c r="A30" s="282">
        <v>6539</v>
      </c>
      <c r="B30" s="282">
        <v>7850</v>
      </c>
      <c r="C30" s="300">
        <f>E21</f>
        <v>30696263</v>
      </c>
      <c r="D30" s="300">
        <f>'[11]INFORME FINAL NOVIEMEBRE'!K75+'[11]INFORME FINAL NOVIEMEBRE'!K76+'[11]INFORME FINAL NOVIEMEBRE'!K77+'[11]INFORME FINAL NOVIEMEBRE'!K88+'[11]INFORME FINAL NOVIEMEBRE'!K89+'[11]INFORME FINAL NOVIEMEBRE'!K90+'[11]INFORME FINAL NOVIEMEBRE'!K91+'[11]INFORME FINAL NOVIEMEBRE'!K92+'[11]INFORME FINAL NOVIEMEBRE'!K93</f>
        <v>4507514</v>
      </c>
      <c r="E30" s="300">
        <f>C30-D30</f>
        <v>26188749</v>
      </c>
      <c r="G30" s="301">
        <v>4507514</v>
      </c>
    </row>
    <row r="31" spans="1:10" x14ac:dyDescent="0.25">
      <c r="A31" s="282">
        <v>6540</v>
      </c>
      <c r="B31" s="282">
        <v>7851</v>
      </c>
      <c r="C31" s="300">
        <f>E22</f>
        <v>52548471</v>
      </c>
      <c r="D31" s="300">
        <f>'[11]INFORME FINAL NOVIEMEBRE'!K74+'[11]INFORME FINAL NOVIEMEBRE'!K80+'[11]INFORME FINAL NOVIEMEBRE'!K83+'[11]INFORME FINAL NOVIEMEBRE'!K84+'[11]INFORME FINAL NOVIEMEBRE'!K95+'[11]INFORME FINAL NOVIEMEBRE'!K96+'[11]INFORME FINAL NOVIEMEBRE'!K97+'[11]INFORME FINAL NOVIEMEBRE'!K98+'[11]INFORME FINAL NOVIEMEBRE'!K103+'[11]INFORME FINAL NOVIEMEBRE'!K104+'[11]INFORME FINAL NOVIEMEBRE'!K134</f>
        <v>3317354</v>
      </c>
      <c r="E31" s="300">
        <f>C31-D31</f>
        <v>49231117</v>
      </c>
      <c r="G31" s="301">
        <v>3317354</v>
      </c>
    </row>
    <row r="32" spans="1:10" x14ac:dyDescent="0.25">
      <c r="A32" s="282">
        <v>6538</v>
      </c>
      <c r="B32" s="282">
        <v>7852</v>
      </c>
      <c r="C32" s="300">
        <f>E23</f>
        <v>923810327</v>
      </c>
      <c r="D32" s="300">
        <f>'[11]INFORME FINAL NOVIEMEBRE'!O70+'[11]INFORME FINAL NOVIEMEBRE'!L73+'[11]INFORME FINAL NOVIEMEBRE'!K78+'[11]INFORME FINAL NOVIEMEBRE'!K79+'[11]INFORME FINAL NOVIEMEBRE'!K100+'[11]INFORME FINAL NOVIEMEBRE'!K108+'[11]INFORME FINAL NOVIEMEBRE'!K109+'[11]INFORME FINAL NOVIEMEBRE'!K110+'[11]INFORME FINAL NOVIEMEBRE'!K111+'[11]INFORME FINAL NOVIEMEBRE'!K112+'[11]INFORME FINAL NOVIEMEBRE'!K113+'[11]INFORME FINAL NOVIEMEBRE'!K114+'[11]INFORME FINAL NOVIEMEBRE'!K115+'[11]INFORME FINAL NOVIEMEBRE'!K116+'[11]INFORME FINAL NOVIEMEBRE'!K117+'[11]INFORME FINAL NOVIEMEBRE'!K118+'[11]INFORME FINAL NOVIEMEBRE'!K119+'[11]INFORME FINAL NOVIEMEBRE'!K120+'[11]INFORME FINAL NOVIEMEBRE'!K121+'[11]INFORME FINAL NOVIEMEBRE'!K122+'[11]INFORME FINAL NOVIEMEBRE'!K123+'[11]INFORME FINAL NOVIEMEBRE'!K124+'[11]INFORME FINAL NOVIEMEBRE'!K125+'[11]INFORME FINAL NOVIEMEBRE'!K126+'[11]INFORME FINAL NOVIEMEBRE'!K127+'[11]INFORME FINAL NOVIEMEBRE'!K128+'[11]INFORME FINAL NOVIEMEBRE'!K129+'[11]INFORME FINAL NOVIEMEBRE'!K130+'[11]INFORME FINAL NOVIEMEBRE'!K131+'[11]INFORME FINAL NOVIEMEBRE'!K132+'[11]INFORME FINAL NOVIEMEBRE'!K133+'[11]INFORME FINAL NOVIEMEBRE'!K136</f>
        <v>133799308</v>
      </c>
      <c r="E32" s="300">
        <f>C32-D32</f>
        <v>790011019</v>
      </c>
      <c r="G32" s="301">
        <v>133799308</v>
      </c>
    </row>
    <row r="33" spans="1:8" x14ac:dyDescent="0.25">
      <c r="A33" s="282">
        <v>6542</v>
      </c>
      <c r="B33" s="282">
        <v>7854</v>
      </c>
      <c r="C33" s="300">
        <f>E24</f>
        <v>6560647</v>
      </c>
      <c r="D33" s="300">
        <f>'[11]INFORME FINAL NOVIEMEBRE'!K81+'[11]INFORME FINAL NOVIEMEBRE'!K82+'[11]INFORME FINAL NOVIEMEBRE'!K85+'[11]INFORME FINAL NOVIEMEBRE'!K86+'[11]INFORME FINAL NOVIEMEBRE'!K87+'[11]INFORME FINAL NOVIEMEBRE'!K99+'[11]INFORME FINAL NOVIEMEBRE'!K101+'[11]INFORME FINAL NOVIEMEBRE'!K102+'[11]INFORME FINAL NOVIEMEBRE'!K105+'[11]INFORME FINAL NOVIEMEBRE'!K106+'[11]INFORME FINAL NOVIEMEBRE'!K107</f>
        <v>2224165</v>
      </c>
      <c r="E33" s="300">
        <f>C33-D33</f>
        <v>4336482</v>
      </c>
      <c r="G33" s="301">
        <v>2224165</v>
      </c>
    </row>
    <row r="34" spans="1:8" x14ac:dyDescent="0.25">
      <c r="A34" s="282">
        <v>6541</v>
      </c>
      <c r="B34" s="282" t="s">
        <v>307</v>
      </c>
      <c r="C34" s="300">
        <f>E25</f>
        <v>4725259</v>
      </c>
      <c r="D34" s="300">
        <f>'[11]INFORME FINAL NOVIEMEBRE'!K94+'[11]INFORME FINAL NOVIEMEBRE'!K135</f>
        <v>636769</v>
      </c>
      <c r="E34" s="300">
        <f>C34-D34</f>
        <v>4088490</v>
      </c>
      <c r="G34" s="301">
        <v>636769</v>
      </c>
    </row>
    <row r="35" spans="1:8" x14ac:dyDescent="0.25">
      <c r="A35" s="423" t="s">
        <v>321</v>
      </c>
      <c r="B35" s="423"/>
      <c r="C35" s="423"/>
      <c r="D35" s="423"/>
      <c r="E35" s="290">
        <f>SUM(E30:E34)</f>
        <v>873855857</v>
      </c>
      <c r="F35" s="296"/>
    </row>
    <row r="36" spans="1:8" x14ac:dyDescent="0.25">
      <c r="C36" s="299">
        <f>SUM(C30:C34)</f>
        <v>1018340967</v>
      </c>
      <c r="D36" s="288">
        <f>SUM(D30:D34)</f>
        <v>144485110</v>
      </c>
      <c r="E36" s="298"/>
    </row>
    <row r="37" spans="1:8" x14ac:dyDescent="0.25">
      <c r="A37" s="424" t="s">
        <v>314</v>
      </c>
      <c r="B37" s="424"/>
      <c r="C37" s="424"/>
      <c r="D37" s="424"/>
      <c r="E37" s="424"/>
    </row>
    <row r="38" spans="1:8" x14ac:dyDescent="0.25">
      <c r="A38" s="280" t="s">
        <v>315</v>
      </c>
      <c r="B38" s="280" t="s">
        <v>316</v>
      </c>
      <c r="C38" s="280" t="s">
        <v>317</v>
      </c>
      <c r="D38" s="280" t="s">
        <v>329</v>
      </c>
      <c r="E38" s="280" t="s">
        <v>319</v>
      </c>
    </row>
    <row r="39" spans="1:8" x14ac:dyDescent="0.25">
      <c r="A39" s="282">
        <v>6539</v>
      </c>
      <c r="B39" s="282">
        <v>7850</v>
      </c>
      <c r="C39" s="300">
        <f>E30</f>
        <v>26188749</v>
      </c>
      <c r="D39" s="300">
        <f>SUM('[12]INFORME FINAL DICIEMBRE'!$K$77,'[12]INFORME FINAL DICIEMBRE'!$K$78,'[12]INFORME FINAL DICIEMBRE'!$K$81,'[12]INFORME FINAL DICIEMBRE'!$K$85,'[12]INFORME FINAL DICIEMBRE'!$K$86,'[12]INFORME FINAL DICIEMBRE'!$K$87,'[12]INFORME FINAL DICIEMBRE'!$K$88,'[12]INFORME FINAL DICIEMBRE'!$K$89,'[12]INFORME FINAL DICIEMBRE'!$K$90,'[12]INFORME FINAL DICIEMBRE'!$K$91,'[12]INFORME FINAL DICIEMBRE'!$K$92,'[12]INFORME FINAL DICIEMBRE'!$K$93,'[12]INFORME FINAL DICIEMBRE'!$K$94,'[12]INFORME FINAL DICIEMBRE'!$K$98,'[12]INFORME FINAL DICIEMBRE'!$K$99,'[12]INFORME FINAL DICIEMBRE'!$K$103,'[12]INFORME FINAL DICIEMBRE'!$K$106,'[12]INFORME FINAL DICIEMBRE'!$K$110,'[12]INFORME FINAL DICIEMBRE'!$K$112,'[12]INFORME FINAL DICIEMBRE'!$K$113)</f>
        <v>8625016</v>
      </c>
      <c r="E39" s="300">
        <f>C39-D39</f>
        <v>17563733</v>
      </c>
      <c r="G39" s="298">
        <v>8625016</v>
      </c>
      <c r="H39" s="298"/>
    </row>
    <row r="40" spans="1:8" x14ac:dyDescent="0.25">
      <c r="A40" s="282">
        <v>6540</v>
      </c>
      <c r="B40" s="282">
        <v>7851</v>
      </c>
      <c r="C40" s="300">
        <f>E31</f>
        <v>49231117</v>
      </c>
      <c r="D40" s="300">
        <v>4036889</v>
      </c>
      <c r="E40" s="300">
        <f>C40-D40</f>
        <v>45194228</v>
      </c>
      <c r="G40" s="298">
        <v>4036889</v>
      </c>
      <c r="H40" s="298"/>
    </row>
    <row r="41" spans="1:8" x14ac:dyDescent="0.25">
      <c r="A41" s="282">
        <v>6538</v>
      </c>
      <c r="B41" s="282">
        <v>7852</v>
      </c>
      <c r="C41" s="300">
        <f>E32</f>
        <v>790011019</v>
      </c>
      <c r="D41" s="300">
        <v>120547069</v>
      </c>
      <c r="E41" s="300">
        <f>C41-D41</f>
        <v>669463950</v>
      </c>
      <c r="G41" s="298">
        <v>120547069</v>
      </c>
      <c r="H41" s="298"/>
    </row>
    <row r="42" spans="1:8" x14ac:dyDescent="0.25">
      <c r="A42" s="282">
        <v>6542</v>
      </c>
      <c r="B42" s="282">
        <v>7854</v>
      </c>
      <c r="C42" s="300">
        <f>E33</f>
        <v>4336482</v>
      </c>
      <c r="D42" s="300">
        <v>1327507</v>
      </c>
      <c r="E42" s="300">
        <f>C42-D42</f>
        <v>3008975</v>
      </c>
      <c r="G42" s="298">
        <v>1327507</v>
      </c>
      <c r="H42" s="298"/>
    </row>
    <row r="43" spans="1:8" x14ac:dyDescent="0.25">
      <c r="A43" s="282">
        <v>6541</v>
      </c>
      <c r="B43" s="282" t="s">
        <v>307</v>
      </c>
      <c r="C43" s="300">
        <f>E34</f>
        <v>4088490</v>
      </c>
      <c r="D43" s="300">
        <v>0</v>
      </c>
      <c r="E43" s="300">
        <f>C43-D43</f>
        <v>4088490</v>
      </c>
      <c r="G43" s="298">
        <v>0</v>
      </c>
      <c r="H43" s="298"/>
    </row>
    <row r="44" spans="1:8" x14ac:dyDescent="0.25">
      <c r="A44" s="423" t="s">
        <v>321</v>
      </c>
      <c r="B44" s="423"/>
      <c r="C44" s="423"/>
      <c r="D44" s="423"/>
      <c r="E44" s="290">
        <f>SUM(E39:E43)</f>
        <v>739319376</v>
      </c>
      <c r="F44" s="296"/>
    </row>
    <row r="45" spans="1:8" x14ac:dyDescent="0.25">
      <c r="C45" s="299">
        <f>SUM(C39:C43)</f>
        <v>873855857</v>
      </c>
      <c r="D45" s="288">
        <f>SUM(D39:D43)</f>
        <v>134536481</v>
      </c>
      <c r="E45" s="298"/>
    </row>
    <row r="46" spans="1:8" x14ac:dyDescent="0.25">
      <c r="A46" s="424" t="s">
        <v>314</v>
      </c>
      <c r="B46" s="424"/>
      <c r="C46" s="424"/>
      <c r="D46" s="424"/>
      <c r="E46" s="424"/>
    </row>
    <row r="47" spans="1:8" x14ac:dyDescent="0.25">
      <c r="A47" s="280" t="s">
        <v>315</v>
      </c>
      <c r="B47" s="280" t="s">
        <v>316</v>
      </c>
      <c r="C47" s="280" t="s">
        <v>317</v>
      </c>
      <c r="D47" s="280" t="s">
        <v>330</v>
      </c>
      <c r="E47" s="280" t="s">
        <v>319</v>
      </c>
    </row>
    <row r="48" spans="1:8" x14ac:dyDescent="0.25">
      <c r="A48" s="282">
        <v>6539</v>
      </c>
      <c r="B48" s="282">
        <v>7850</v>
      </c>
      <c r="C48" s="300">
        <f>E39</f>
        <v>17563733</v>
      </c>
      <c r="D48" s="300">
        <v>0</v>
      </c>
      <c r="E48" s="300">
        <f>C48-D48</f>
        <v>17563733</v>
      </c>
    </row>
    <row r="49" spans="1:7" x14ac:dyDescent="0.25">
      <c r="A49" s="282">
        <v>6540</v>
      </c>
      <c r="B49" s="282">
        <v>7851</v>
      </c>
      <c r="C49" s="300">
        <f>E40</f>
        <v>45194228</v>
      </c>
      <c r="D49" s="300">
        <v>6132711</v>
      </c>
      <c r="E49" s="300">
        <f>C49-D49</f>
        <v>39061517</v>
      </c>
    </row>
    <row r="50" spans="1:7" x14ac:dyDescent="0.25">
      <c r="A50" s="282">
        <v>6538</v>
      </c>
      <c r="B50" s="282">
        <v>7852</v>
      </c>
      <c r="C50" s="300">
        <f>E41</f>
        <v>669463950</v>
      </c>
      <c r="D50" s="300">
        <v>146637987</v>
      </c>
      <c r="E50" s="300">
        <f>C50-D50</f>
        <v>522825963</v>
      </c>
    </row>
    <row r="51" spans="1:7" x14ac:dyDescent="0.25">
      <c r="A51" s="282">
        <v>6542</v>
      </c>
      <c r="B51" s="282">
        <v>7854</v>
      </c>
      <c r="C51" s="300">
        <f>E42</f>
        <v>3008975</v>
      </c>
      <c r="D51" s="300">
        <v>1512734</v>
      </c>
      <c r="E51" s="300">
        <f>C51-D51</f>
        <v>1496241</v>
      </c>
    </row>
    <row r="52" spans="1:7" x14ac:dyDescent="0.25">
      <c r="A52" s="282">
        <v>6541</v>
      </c>
      <c r="B52" s="282" t="s">
        <v>307</v>
      </c>
      <c r="C52" s="300">
        <f>E43</f>
        <v>4088490</v>
      </c>
      <c r="D52" s="300">
        <v>0</v>
      </c>
      <c r="E52" s="300">
        <f>C52-D52</f>
        <v>4088490</v>
      </c>
    </row>
    <row r="53" spans="1:7" x14ac:dyDescent="0.25">
      <c r="A53" s="423" t="s">
        <v>321</v>
      </c>
      <c r="B53" s="423"/>
      <c r="C53" s="423"/>
      <c r="D53" s="423"/>
      <c r="E53" s="290">
        <f>SUM(E48:E52)</f>
        <v>585035944</v>
      </c>
      <c r="F53" s="296"/>
    </row>
    <row r="54" spans="1:7" x14ac:dyDescent="0.25">
      <c r="C54" s="299">
        <f>SUM(C48:C52)</f>
        <v>739319376</v>
      </c>
      <c r="D54" s="288">
        <f>SUM(D48:D52)</f>
        <v>154283432</v>
      </c>
      <c r="E54" s="298"/>
    </row>
    <row r="55" spans="1:7" x14ac:dyDescent="0.25">
      <c r="A55" s="424" t="s">
        <v>314</v>
      </c>
      <c r="B55" s="424"/>
      <c r="C55" s="424"/>
      <c r="D55" s="424"/>
      <c r="E55" s="424"/>
      <c r="F55" s="302"/>
      <c r="G55" s="303"/>
    </row>
    <row r="56" spans="1:7" x14ac:dyDescent="0.25">
      <c r="A56" s="280" t="s">
        <v>315</v>
      </c>
      <c r="B56" s="280" t="s">
        <v>316</v>
      </c>
      <c r="C56" s="280" t="s">
        <v>317</v>
      </c>
      <c r="D56" s="280" t="s">
        <v>331</v>
      </c>
      <c r="E56" s="280" t="s">
        <v>319</v>
      </c>
    </row>
    <row r="57" spans="1:7" x14ac:dyDescent="0.25">
      <c r="A57" s="282">
        <v>6539</v>
      </c>
      <c r="B57" s="282">
        <v>7850</v>
      </c>
      <c r="C57" s="300">
        <f>E48</f>
        <v>17563733</v>
      </c>
      <c r="D57" s="300">
        <v>608893</v>
      </c>
      <c r="E57" s="300">
        <f>C57-D57</f>
        <v>16954840</v>
      </c>
    </row>
    <row r="58" spans="1:7" x14ac:dyDescent="0.25">
      <c r="A58" s="282">
        <v>6540</v>
      </c>
      <c r="B58" s="282">
        <v>7851</v>
      </c>
      <c r="C58" s="300">
        <f>E49</f>
        <v>39061517</v>
      </c>
      <c r="D58" s="300">
        <v>2236066</v>
      </c>
      <c r="E58" s="300">
        <f>C58-D58</f>
        <v>36825451</v>
      </c>
    </row>
    <row r="59" spans="1:7" x14ac:dyDescent="0.25">
      <c r="A59" s="282">
        <v>6538</v>
      </c>
      <c r="B59" s="282">
        <v>7852</v>
      </c>
      <c r="C59" s="300">
        <f>E50</f>
        <v>522825963</v>
      </c>
      <c r="D59" s="300">
        <v>69663725</v>
      </c>
      <c r="E59" s="300">
        <f>C59-D59</f>
        <v>453162238</v>
      </c>
    </row>
    <row r="60" spans="1:7" x14ac:dyDescent="0.25">
      <c r="A60" s="282">
        <v>6542</v>
      </c>
      <c r="B60" s="282">
        <v>7854</v>
      </c>
      <c r="C60" s="300">
        <f>E51</f>
        <v>1496241</v>
      </c>
      <c r="D60" s="300">
        <v>0</v>
      </c>
      <c r="E60" s="300">
        <f>C60-D60</f>
        <v>1496241</v>
      </c>
    </row>
    <row r="61" spans="1:7" x14ac:dyDescent="0.25">
      <c r="A61" s="282">
        <v>6541</v>
      </c>
      <c r="B61" s="282" t="s">
        <v>307</v>
      </c>
      <c r="C61" s="300">
        <f>E52</f>
        <v>4088490</v>
      </c>
      <c r="D61" s="300">
        <v>0</v>
      </c>
      <c r="E61" s="300">
        <f>C61-D61</f>
        <v>4088490</v>
      </c>
    </row>
    <row r="62" spans="1:7" x14ac:dyDescent="0.25">
      <c r="A62" s="423" t="s">
        <v>321</v>
      </c>
      <c r="B62" s="423"/>
      <c r="C62" s="423"/>
      <c r="D62" s="423"/>
      <c r="E62" s="290">
        <f>SUM(E57:E61)</f>
        <v>512527260</v>
      </c>
    </row>
    <row r="63" spans="1:7" x14ac:dyDescent="0.25">
      <c r="C63" s="299">
        <f>SUM(C57:C61)</f>
        <v>585035944</v>
      </c>
      <c r="D63" s="288">
        <f>SUM(D57:D61)</f>
        <v>72508684</v>
      </c>
      <c r="E63" s="298"/>
    </row>
    <row r="64" spans="1:7" x14ac:dyDescent="0.25">
      <c r="A64" s="424" t="s">
        <v>314</v>
      </c>
      <c r="B64" s="424"/>
      <c r="C64" s="424"/>
      <c r="D64" s="424"/>
      <c r="E64" s="424"/>
    </row>
    <row r="65" spans="1:9" x14ac:dyDescent="0.25">
      <c r="A65" s="280" t="s">
        <v>315</v>
      </c>
      <c r="B65" s="280" t="s">
        <v>316</v>
      </c>
      <c r="C65" s="280" t="s">
        <v>317</v>
      </c>
      <c r="D65" s="280" t="s">
        <v>332</v>
      </c>
      <c r="E65" s="280" t="s">
        <v>319</v>
      </c>
    </row>
    <row r="66" spans="1:9" x14ac:dyDescent="0.25">
      <c r="A66" s="282">
        <v>6539</v>
      </c>
      <c r="B66" s="282">
        <v>7850</v>
      </c>
      <c r="C66" s="300">
        <f>E57</f>
        <v>16954840</v>
      </c>
      <c r="D66" s="300">
        <v>9680560</v>
      </c>
      <c r="E66" s="300">
        <f>C66-D66</f>
        <v>7274280</v>
      </c>
      <c r="G66" s="304">
        <f>SUM('[9]INFORME FINAL MARZ'!K112,'[9]INFORME FINAL MARZ'!K113,'[9]INFORME FINAL MARZ'!K114,'[9]INFORME FINAL MARZ'!K115,'[9]INFORME FINAL MARZ'!K116,'[9]INFORME FINAL MARZ'!K124,'[9]INFORME FINAL MARZ'!K125,'[9]INFORME FINAL MARZ'!K126,'[9]INFORME FINAL MARZ'!K127,'[9]INFORME FINAL MARZ'!K128,'[9]INFORME FINAL MARZ'!K129,'[9]INFORME FINAL MARZ'!K130,'[9]INFORME FINAL MARZ'!K131,'[9]INFORME FINAL MARZ'!K132,'[9]INFORME FINAL MARZ'!K133,'[9]INFORME FINAL MARZ'!K134,'[9]INFORME FINAL MARZ'!K135,'[9]INFORME FINAL MARZ'!K136,'[9]INFORME FINAL MARZ'!K137,'[9]INFORME FINAL MARZ'!K138,'[9]INFORME FINAL MARZ'!K139,'[9]INFORME FINAL MARZ'!K140,'[9]INFORME FINAL MARZ'!K141,'[9]INFORME FINAL MARZ'!K143,'[9]INFORME FINAL MARZ'!K144,'[9]INFORME FINAL MARZ'!K146,'[9]INFORME FINAL MARZ'!K147)</f>
        <v>7108864</v>
      </c>
    </row>
    <row r="67" spans="1:9" x14ac:dyDescent="0.25">
      <c r="A67" s="282">
        <v>6540</v>
      </c>
      <c r="B67" s="282">
        <v>7851</v>
      </c>
      <c r="C67" s="300">
        <f>E58</f>
        <v>36825451</v>
      </c>
      <c r="D67" s="300">
        <v>6333198</v>
      </c>
      <c r="E67" s="300">
        <f>C67-D67</f>
        <v>30492253</v>
      </c>
      <c r="G67" s="304">
        <f>SUM('[9]INFORME FINAL MARZ'!K106,'[9]INFORME FINAL MARZ'!K107,'[9]INFORME FINAL MARZ'!K108,'[9]INFORME FINAL MARZ'!K109,'[9]INFORME FINAL MARZ'!K110,'[9]INFORME FINAL MARZ'!K111,'[9]INFORME FINAL MARZ'!K117,'[9]INFORME FINAL MARZ'!K120,'[9]INFORME FINAL MARZ'!K121,'[9]INFORME FINAL MARZ'!K142,'[9]INFORME FINAL MARZ'!K145,'[9]INFORME FINAL MARZ'!K148,'[9]INFORME FINAL MARZ'!K149,'[9]INFORME FINAL MARZ'!K150,'[9]INFORME FINAL MARZ'!K151)</f>
        <v>4833042</v>
      </c>
    </row>
    <row r="68" spans="1:9" x14ac:dyDescent="0.25">
      <c r="A68" s="282">
        <v>6538</v>
      </c>
      <c r="B68" s="282">
        <v>7852</v>
      </c>
      <c r="C68" s="300">
        <f>E59</f>
        <v>453162238</v>
      </c>
      <c r="D68" s="300">
        <v>107459553</v>
      </c>
      <c r="E68" s="300">
        <f>C68-D68</f>
        <v>345702685</v>
      </c>
      <c r="G68" s="304">
        <f>SUM('[9]INFORME FINAL MARZ'!H78,'[9]INFORME FINAL MARZ'!L82,'[9]INFORME FINAL MARZ'!K83,'[9]INFORME FINAL MARZ'!K84,'[9]INFORME FINAL MARZ'!K85,'[9]INFORME FINAL MARZ'!K86,'[9]INFORME FINAL MARZ'!K87,'[9]INFORME FINAL MARZ'!K88,'[9]INFORME FINAL MARZ'!K89,'[9]INFORME FINAL MARZ'!K90,'[9]INFORME FINAL MARZ'!K91,'[9]INFORME FINAL MARZ'!K92,'[9]INFORME FINAL MARZ'!K93,'[9]INFORME FINAL MARZ'!K94,'[9]INFORME FINAL MARZ'!K95,'[9]INFORME FINAL MARZ'!K96,'[9]INFORME FINAL MARZ'!K97,'[9]INFORME FINAL MARZ'!K98,'[9]INFORME FINAL MARZ'!K99,'[9]INFORME FINAL MARZ'!K100,'[9]INFORME FINAL MARZ'!K101,'[9]INFORME FINAL MARZ'!K102,'[9]INFORME FINAL MARZ'!K103,'[9]INFORME FINAL MARZ'!K104,'[9]INFORME FINAL MARZ'!K105,'[9]INFORME FINAL MARZ'!K122,'[9]INFORME FINAL MARZ'!K123)</f>
        <v>107459553</v>
      </c>
    </row>
    <row r="69" spans="1:9" x14ac:dyDescent="0.25">
      <c r="A69" s="282">
        <v>6542</v>
      </c>
      <c r="B69" s="282">
        <v>7854</v>
      </c>
      <c r="C69" s="300">
        <f>E60</f>
        <v>1496241</v>
      </c>
      <c r="D69" s="300">
        <v>296116</v>
      </c>
      <c r="E69" s="300">
        <f>C69-D69</f>
        <v>1200125</v>
      </c>
      <c r="G69" s="304">
        <f>SUM('[9]INFORME FINAL MARZ'!K118,'[9]INFORME FINAL MARZ'!K119)</f>
        <v>296116</v>
      </c>
    </row>
    <row r="70" spans="1:9" x14ac:dyDescent="0.25">
      <c r="A70" s="282">
        <v>6541</v>
      </c>
      <c r="B70" s="282" t="s">
        <v>307</v>
      </c>
      <c r="C70" s="300">
        <f>E61</f>
        <v>4088490</v>
      </c>
      <c r="D70" s="300">
        <v>0</v>
      </c>
      <c r="E70" s="300">
        <f>C70-D70</f>
        <v>4088490</v>
      </c>
      <c r="G70" s="304">
        <v>0</v>
      </c>
    </row>
    <row r="71" spans="1:9" x14ac:dyDescent="0.25">
      <c r="A71" s="423" t="s">
        <v>321</v>
      </c>
      <c r="B71" s="423"/>
      <c r="C71" s="423"/>
      <c r="D71" s="423"/>
      <c r="E71" s="290">
        <f>SUM(E66:E70)</f>
        <v>388757833</v>
      </c>
    </row>
    <row r="72" spans="1:9" x14ac:dyDescent="0.25">
      <c r="C72" s="299">
        <f>SUM(C66:C70)</f>
        <v>512527260</v>
      </c>
      <c r="D72" s="305">
        <f>SUM(D66:D70)</f>
        <v>123769427</v>
      </c>
      <c r="E72" s="298"/>
    </row>
    <row r="73" spans="1:9" x14ac:dyDescent="0.25">
      <c r="A73" s="424" t="s">
        <v>314</v>
      </c>
      <c r="B73" s="424"/>
      <c r="C73" s="424"/>
      <c r="D73" s="424"/>
      <c r="E73" s="424"/>
    </row>
    <row r="74" spans="1:9" x14ac:dyDescent="0.25">
      <c r="A74" s="280" t="s">
        <v>315</v>
      </c>
      <c r="B74" s="280" t="s">
        <v>316</v>
      </c>
      <c r="C74" s="280" t="s">
        <v>317</v>
      </c>
      <c r="D74" s="280" t="s">
        <v>333</v>
      </c>
      <c r="E74" s="280" t="s">
        <v>319</v>
      </c>
    </row>
    <row r="75" spans="1:9" x14ac:dyDescent="0.25">
      <c r="A75" s="282">
        <v>6539</v>
      </c>
      <c r="B75" s="282">
        <v>7850</v>
      </c>
      <c r="C75" s="300">
        <f>E66</f>
        <v>7274280</v>
      </c>
      <c r="D75" s="306">
        <v>6191878</v>
      </c>
      <c r="E75" s="300">
        <f>C75-D75</f>
        <v>1082402</v>
      </c>
      <c r="G75" s="301">
        <f>SUM('[13]INFORME FINAL ABRIL'!K83,'[13]INFORME FINAL ABRIL'!K84,'[13]INFORME FINAL ABRIL'!K104,'[13]INFORME FINAL ABRIL'!K105,'[13]INFORME FINAL ABRIL'!K111,'[13]INFORME FINAL ABRIL'!K112,'[13]INFORME FINAL ABRIL'!K113,'[13]INFORME FINAL ABRIL'!K114,'[13]INFORME FINAL ABRIL'!K115,'[13]INFORME FINAL ABRIL'!K116,'[13]INFORME FINAL ABRIL'!K123,'[13]INFORME FINAL ABRIL'!K124,'[13]INFORME FINAL ABRIL'!K125,'[13]INFORME FINAL ABRIL'!K126,'[13]INFORME FINAL ABRIL'!K127,'[13]INFORME FINAL ABRIL'!K128,'[13]INFORME FINAL ABRIL'!K134,'[13]INFORME FINAL ABRIL'!K136,'[13]INFORME FINAL ABRIL'!K141,'[13]INFORME FINAL ABRIL'!K142,'[13]INFORME FINAL ABRIL'!K143,'[13]INFORME FINAL ABRIL'!K144)</f>
        <v>6191878</v>
      </c>
      <c r="H75" s="301"/>
      <c r="I75" s="291"/>
    </row>
    <row r="76" spans="1:9" x14ac:dyDescent="0.25">
      <c r="A76" s="282">
        <v>6540</v>
      </c>
      <c r="B76" s="282">
        <v>7851</v>
      </c>
      <c r="C76" s="300">
        <f t="shared" ref="C76:C79" si="0">E67</f>
        <v>30492253</v>
      </c>
      <c r="D76" s="306">
        <v>3020130</v>
      </c>
      <c r="E76" s="300">
        <f t="shared" ref="E76:E79" si="1">C76-D76</f>
        <v>27472123</v>
      </c>
      <c r="G76" s="301">
        <f>SUM('[13]INFORME FINAL ABRIL'!K110,'[13]INFORME FINAL ABRIL'!K117,'[13]INFORME FINAL ABRIL'!K122,'[13]INFORME FINAL ABRIL'!K133,'[13]INFORME FINAL ABRIL'!K137,'[13]INFORME FINAL ABRIL'!K138,'[13]INFORME FINAL ABRIL'!K145,'[13]INFORME FINAL ABRIL'!K146)</f>
        <v>3020130</v>
      </c>
    </row>
    <row r="77" spans="1:9" x14ac:dyDescent="0.25">
      <c r="A77" s="282">
        <v>6538</v>
      </c>
      <c r="B77" s="282">
        <v>7852</v>
      </c>
      <c r="C77" s="300">
        <f t="shared" si="0"/>
        <v>345702685</v>
      </c>
      <c r="D77" s="306">
        <v>127724796</v>
      </c>
      <c r="E77" s="300">
        <f t="shared" si="1"/>
        <v>217977889</v>
      </c>
      <c r="G77" s="301">
        <f>SUM('[13]INFORME FINAL ABRIL'!K9:K12,'[13]INFORME FINAL ABRIL'!O79,'[13]INFORME FINAL ABRIL'!K85,'[13]INFORME FINAL ABRIL'!K86,'[13]INFORME FINAL ABRIL'!K87,'[13]INFORME FINAL ABRIL'!K88,'[13]INFORME FINAL ABRIL'!K89,'[13]INFORME FINAL ABRIL'!K90,'[13]INFORME FINAL ABRIL'!K91,'[13]INFORME FINAL ABRIL'!K92,'[13]INFORME FINAL ABRIL'!K93,'[13]INFORME FINAL ABRIL'!K94,'[13]INFORME FINAL ABRIL'!K95,'[13]INFORME FINAL ABRIL'!K96,'[13]INFORME FINAL ABRIL'!K97,'[13]INFORME FINAL ABRIL'!K98,'[13]INFORME FINAL ABRIL'!K99,'[13]INFORME FINAL ABRIL'!K100,'[13]INFORME FINAL ABRIL'!K101,'[13]INFORME FINAL ABRIL'!K102,'[13]INFORME FINAL ABRIL'!K103,'[13]INFORME FINAL ABRIL'!K106,'[13]INFORME FINAL ABRIL'!K107,'[13]INFORME FINAL ABRIL'!K108,'[13]INFORME FINAL ABRIL'!K109,'[13]INFORME FINAL ABRIL'!K118,'[13]INFORME FINAL ABRIL'!K119,'[13]INFORME FINAL ABRIL'!K120,'[13]INFORME FINAL ABRIL'!K121,'[13]INFORME FINAL ABRIL'!K139,'[13]INFORME FINAL ABRIL'!K140,'[13]INFORME FINAL ABRIL'!K147,'[13]INFORME FINAL ABRIL'!K148)</f>
        <v>127724796</v>
      </c>
    </row>
    <row r="78" spans="1:9" x14ac:dyDescent="0.25">
      <c r="A78" s="282">
        <v>6542</v>
      </c>
      <c r="B78" s="282">
        <v>7854</v>
      </c>
      <c r="C78" s="300">
        <f t="shared" si="0"/>
        <v>1200125</v>
      </c>
      <c r="D78" s="306">
        <v>927837</v>
      </c>
      <c r="E78" s="300">
        <f t="shared" si="1"/>
        <v>272288</v>
      </c>
      <c r="G78" s="301">
        <f>SUM('[13]INFORME FINAL ABRIL'!K129,'[13]INFORME FINAL ABRIL'!K130,'[13]INFORME FINAL ABRIL'!K131,'[13]INFORME FINAL ABRIL'!K135)</f>
        <v>927837</v>
      </c>
    </row>
    <row r="79" spans="1:9" x14ac:dyDescent="0.25">
      <c r="A79" s="282">
        <v>6541</v>
      </c>
      <c r="B79" s="282" t="s">
        <v>307</v>
      </c>
      <c r="C79" s="300">
        <f t="shared" si="0"/>
        <v>4088490</v>
      </c>
      <c r="D79" s="306">
        <v>290841</v>
      </c>
      <c r="E79" s="300">
        <f t="shared" si="1"/>
        <v>3797649</v>
      </c>
      <c r="G79" s="301">
        <f>SUM('[13]INFORME FINAL ABRIL'!K132)</f>
        <v>290841</v>
      </c>
    </row>
    <row r="80" spans="1:9" x14ac:dyDescent="0.25">
      <c r="A80" s="423" t="s">
        <v>321</v>
      </c>
      <c r="B80" s="423"/>
      <c r="C80" s="423"/>
      <c r="D80" s="423"/>
      <c r="E80" s="307">
        <f>SUM(E75:E79)</f>
        <v>250602351</v>
      </c>
    </row>
    <row r="81" spans="1:9" x14ac:dyDescent="0.25">
      <c r="C81" s="298">
        <f>SUM(C75:C79)</f>
        <v>388757833</v>
      </c>
      <c r="D81" s="301">
        <f>SUM(D75:D79)</f>
        <v>138155482</v>
      </c>
      <c r="H81" s="291"/>
    </row>
    <row r="82" spans="1:9" x14ac:dyDescent="0.25">
      <c r="A82" s="424" t="s">
        <v>314</v>
      </c>
      <c r="B82" s="424"/>
      <c r="C82" s="424"/>
      <c r="D82" s="424"/>
      <c r="E82" s="424"/>
    </row>
    <row r="83" spans="1:9" x14ac:dyDescent="0.25">
      <c r="A83" s="280" t="s">
        <v>315</v>
      </c>
      <c r="B83" s="280" t="s">
        <v>316</v>
      </c>
      <c r="C83" s="280" t="s">
        <v>317</v>
      </c>
      <c r="D83" s="280" t="s">
        <v>334</v>
      </c>
      <c r="E83" s="280" t="s">
        <v>319</v>
      </c>
    </row>
    <row r="84" spans="1:9" x14ac:dyDescent="0.25">
      <c r="A84" s="282">
        <v>6539</v>
      </c>
      <c r="B84" s="282">
        <v>7850</v>
      </c>
      <c r="C84" s="300">
        <f>E75</f>
        <v>1082402</v>
      </c>
      <c r="D84" s="306">
        <v>997515</v>
      </c>
      <c r="E84" s="300">
        <f>C84-D84</f>
        <v>84887</v>
      </c>
      <c r="G84" s="301">
        <f>SUM('[14]INFORME FINAL MAYO'!K84,'[14]INFORME FINAL MAYO'!K85,'[14]INFORME FINAL MAYO'!K87)</f>
        <v>997515</v>
      </c>
      <c r="H84" s="298"/>
    </row>
    <row r="85" spans="1:9" x14ac:dyDescent="0.25">
      <c r="A85" s="282">
        <v>6540</v>
      </c>
      <c r="B85" s="282">
        <v>7851</v>
      </c>
      <c r="C85" s="300">
        <f t="shared" ref="C85:C88" si="2">E76</f>
        <v>27472123</v>
      </c>
      <c r="D85" s="306">
        <v>9711039</v>
      </c>
      <c r="E85" s="300">
        <f t="shared" ref="E85:E88" si="3">C85-D85</f>
        <v>17761084</v>
      </c>
      <c r="G85" s="301">
        <f>SUM('[14]INFORME FINAL MAYO'!K86,'[14]INFORME FINAL MAYO'!K89,'[14]INFORME FINAL MAYO'!K90,'[14]INFORME FINAL MAYO'!K91,'[14]INFORME FINAL MAYO'!K92,'[14]INFORME FINAL MAYO'!K97,'[14]INFORME FINAL MAYO'!K98,'[14]INFORME FINAL MAYO'!K99,'[14]INFORME FINAL MAYO'!K101,'[14]INFORME FINAL MAYO'!K102,'[14]INFORME FINAL MAYO'!K103,'[14]INFORME FINAL MAYO'!K104,'[14]INFORME FINAL MAYO'!K105,'[14]INFORME FINAL MAYO'!K106,'[14]INFORME FINAL MAYO'!K107,'[14]INFORME FINAL MAYO'!K108,'[14]INFORME FINAL MAYO'!K110,'[14]INFORME FINAL MAYO'!K114,'[14]INFORME FINAL MAYO'!K115,'[14]INFORME FINAL MAYO'!K119,'[14]INFORME FINAL MAYO'!K124,'[14]INFORME FINAL MAYO'!K125,'[14]INFORME FINAL MAYO'!K126,'[14]INFORME FINAL MAYO'!K127,'[14]INFORME FINAL MAYO'!K128,'[14]INFORME FINAL MAYO'!K129,'[14]INFORME FINAL MAYO'!K132,'[14]INFORME FINAL MAYO'!K133,'[14]INFORME FINAL MAYO'!K134,'[14]INFORME FINAL MAYO'!K135,'[14]INFORME FINAL MAYO'!K136)</f>
        <v>9711039</v>
      </c>
    </row>
    <row r="86" spans="1:9" x14ac:dyDescent="0.25">
      <c r="A86" s="282">
        <v>6538</v>
      </c>
      <c r="B86" s="282">
        <v>7852</v>
      </c>
      <c r="C86" s="300">
        <f t="shared" si="2"/>
        <v>217977889</v>
      </c>
      <c r="D86" s="306">
        <v>139893413</v>
      </c>
      <c r="E86" s="300">
        <f t="shared" si="3"/>
        <v>78084476</v>
      </c>
      <c r="G86" s="301">
        <f>SUM('[14]INFORME FINAL MAYO'!K9:K12,'[14]INFORME FINAL MAYO'!O79,'[14]INFORME FINAL MAYO'!K83,'[14]INFORME FINAL MAYO'!K94,'[14]INFORME FINAL MAYO'!K95,'[14]INFORME FINAL MAYO'!K96,'[14]INFORME FINAL MAYO'!K111,'[14]INFORME FINAL MAYO'!K112,'[14]INFORME FINAL MAYO'!K113,'[14]INFORME FINAL MAYO'!K117,'[14]INFORME FINAL MAYO'!K118,'[14]INFORME FINAL MAYO'!K120,'[14]INFORME FINAL MAYO'!K121,'[14]INFORME FINAL MAYO'!K122,'[14]INFORME FINAL MAYO'!K130,'[14]INFORME FINAL MAYO'!K131,'[14]INFORME FINAL MAYO'!K137,'[14]INFORME FINAL MAYO'!K138,'[14]INFORME FINAL MAYO'!K139,'[14]INFORME FINAL MAYO'!K140,'[14]INFORME FINAL MAYO'!K141,'[14]INFORME FINAL MAYO'!K142,'[14]INFORME FINAL MAYO'!K143,'[14]INFORME FINAL MAYO'!K144,'[14]INFORME FINAL MAYO'!K145,'[14]INFORME FINAL MAYO'!K146,'[14]INFORME FINAL MAYO'!K147,'[14]INFORME FINAL MAYO'!K148,'[14]INFORME FINAL MAYO'!K149,'[14]INFORME FINAL MAYO'!K150,'[14]INFORME FINAL MAYO'!K151,'[14]INFORME FINAL MAYO'!K152,'[14]INFORME FINAL MAYO'!K153,'[14]INFORME FINAL MAYO'!K154,'[14]INFORME FINAL MAYO'!K155,'[14]INFORME FINAL MAYO'!K156,'[14]INFORME FINAL MAYO'!K157,'[14]INFORME FINAL MAYO'!K158,'[14]INFORME FINAL MAYO'!K159)</f>
        <v>139893413</v>
      </c>
    </row>
    <row r="87" spans="1:9" x14ac:dyDescent="0.25">
      <c r="A87" s="282">
        <v>6542</v>
      </c>
      <c r="B87" s="282">
        <v>7854</v>
      </c>
      <c r="C87" s="300">
        <f t="shared" si="2"/>
        <v>272288</v>
      </c>
      <c r="D87" s="306">
        <v>225849</v>
      </c>
      <c r="E87" s="300">
        <f t="shared" si="3"/>
        <v>46439</v>
      </c>
      <c r="G87" s="301">
        <f>'[14]INFORME FINAL MAYO'!K88</f>
        <v>225849</v>
      </c>
    </row>
    <row r="88" spans="1:9" x14ac:dyDescent="0.25">
      <c r="A88" s="282">
        <v>6541</v>
      </c>
      <c r="B88" s="282" t="s">
        <v>307</v>
      </c>
      <c r="C88" s="300">
        <f t="shared" si="2"/>
        <v>3797649</v>
      </c>
      <c r="D88" s="306">
        <v>1486553</v>
      </c>
      <c r="E88" s="300">
        <f t="shared" si="3"/>
        <v>2311096</v>
      </c>
      <c r="G88" s="301">
        <f>SUM('[14]INFORME FINAL MAYO'!K93,'[14]INFORME FINAL MAYO'!K100,'[14]INFORME FINAL MAYO'!K109,'[14]INFORME FINAL MAYO'!K116,'[14]INFORME FINAL MAYO'!K123)</f>
        <v>1486553</v>
      </c>
    </row>
    <row r="89" spans="1:9" x14ac:dyDescent="0.25">
      <c r="A89" s="423" t="s">
        <v>321</v>
      </c>
      <c r="B89" s="423"/>
      <c r="C89" s="423"/>
      <c r="D89" s="423"/>
      <c r="E89" s="307">
        <f>SUM(E84:E88)</f>
        <v>98287982</v>
      </c>
    </row>
    <row r="90" spans="1:9" x14ac:dyDescent="0.25">
      <c r="C90" s="298">
        <f>SUM(C84:C88)</f>
        <v>250602351</v>
      </c>
      <c r="D90" s="301">
        <f>SUM(D84:D88)</f>
        <v>152314369</v>
      </c>
      <c r="H90" s="422" t="s">
        <v>364</v>
      </c>
      <c r="I90" s="422"/>
    </row>
    <row r="91" spans="1:9" x14ac:dyDescent="0.25">
      <c r="A91" s="425" t="s">
        <v>314</v>
      </c>
      <c r="B91" s="425"/>
      <c r="C91" s="425"/>
      <c r="D91" s="425"/>
      <c r="E91" s="425"/>
      <c r="H91" s="421">
        <v>699161500</v>
      </c>
      <c r="I91" s="421"/>
    </row>
    <row r="92" spans="1:9" x14ac:dyDescent="0.25">
      <c r="A92" s="346" t="s">
        <v>315</v>
      </c>
      <c r="B92" s="346" t="s">
        <v>316</v>
      </c>
      <c r="C92" s="346" t="s">
        <v>317</v>
      </c>
      <c r="D92" s="346" t="s">
        <v>335</v>
      </c>
      <c r="E92" s="346" t="s">
        <v>319</v>
      </c>
      <c r="H92" s="421"/>
      <c r="I92" s="421"/>
    </row>
    <row r="93" spans="1:9" x14ac:dyDescent="0.25">
      <c r="A93" s="347">
        <v>6539</v>
      </c>
      <c r="B93" s="347">
        <v>7850</v>
      </c>
      <c r="C93" s="348">
        <f>E84+29244315</f>
        <v>29329202</v>
      </c>
      <c r="D93" s="349">
        <v>2698436</v>
      </c>
      <c r="E93" s="348">
        <f>C93-D93</f>
        <v>26630766</v>
      </c>
      <c r="G93" s="301">
        <f>SUM('INFORME FINAL JUNIO'!K87,'INFORME FINAL JUNIO'!K117,'INFORME FINAL JUNIO'!K118,'INFORME FINAL JUNIO'!K119,'INFORME FINAL JUNIO'!K120,'INFORME FINAL JUNIO'!K121,'INFORME FINAL JUNIO'!K122,'INFORME FINAL JUNIO'!K123,'INFORME FINAL JUNIO'!K124)</f>
        <v>2698436</v>
      </c>
      <c r="H93" s="421"/>
      <c r="I93" s="421"/>
    </row>
    <row r="94" spans="1:9" x14ac:dyDescent="0.25">
      <c r="A94" s="347">
        <v>6540</v>
      </c>
      <c r="B94" s="347">
        <v>7851</v>
      </c>
      <c r="C94" s="348">
        <f>E85+22009333</f>
        <v>39770417</v>
      </c>
      <c r="D94" s="349">
        <v>7770113</v>
      </c>
      <c r="E94" s="348">
        <f t="shared" ref="E94:E96" si="4">C94-D94</f>
        <v>32000304</v>
      </c>
      <c r="G94" s="301">
        <f>SUM('INFORME FINAL JUNIO'!K85,'INFORME FINAL JUNIO'!K86,'INFORME FINAL JUNIO'!K89,'INFORME FINAL JUNIO'!K90,'INFORME FINAL JUNIO'!K91,'INFORME FINAL JUNIO'!K92,'INFORME FINAL JUNIO'!K93,'INFORME FINAL JUNIO'!K94,'INFORME FINAL JUNIO'!K98,'INFORME FINAL JUNIO'!K99,'INFORME FINAL JUNIO'!K100,'INFORME FINAL JUNIO'!K101,'INFORME FINAL JUNIO'!K102,'INFORME FINAL JUNIO'!K103,'INFORME FINAL JUNIO'!K104,'INFORME FINAL JUNIO'!K105,'INFORME FINAL JUNIO'!K106,'INFORME FINAL JUNIO'!K107,'INFORME FINAL JUNIO'!K108,'INFORME FINAL JUNIO'!K109,'INFORME FINAL JUNIO'!K110,'INFORME FINAL JUNIO'!K111,'INFORME FINAL JUNIO'!K112,'INFORME FINAL JUNIO'!K113,'INFORME FINAL JUNIO'!K114,'INFORME FINAL JUNIO'!K125,'INFORME FINAL JUNIO'!K126)</f>
        <v>7770113</v>
      </c>
      <c r="H94" s="421"/>
      <c r="I94" s="421"/>
    </row>
    <row r="95" spans="1:9" x14ac:dyDescent="0.25">
      <c r="A95" s="347">
        <v>6538</v>
      </c>
      <c r="B95" s="347">
        <v>7852</v>
      </c>
      <c r="C95" s="348">
        <f>E86+647907852</f>
        <v>725992328</v>
      </c>
      <c r="D95" s="350">
        <v>140360793</v>
      </c>
      <c r="E95" s="348">
        <f>C95-G95</f>
        <v>585631535</v>
      </c>
      <c r="G95" s="352">
        <f>SUM('INFORME FINAL JUNIO'!O79,'INFORME FINAL JUNIO'!K9:K12,'INFORME FINAL JUNIO'!K83,'INFORME FINAL JUNIO'!K84,'INFORME FINAL JUNIO'!K88,'INFORME FINAL JUNIO'!K96,'INFORME FINAL JUNIO'!K97,'INFORME FINAL JUNIO'!K115,'INFORME FINAL JUNIO'!K116,'INFORME FINAL JUNIO'!K127,'INFORME FINAL JUNIO'!K128,'INFORME FINAL JUNIO'!K129,'INFORME FINAL JUNIO'!K130,'INFORME FINAL JUNIO'!K131,'INFORME FINAL JUNIO'!K132,'INFORME FINAL JUNIO'!K133,'INFORME FINAL JUNIO'!K134,'INFORME FINAL JUNIO'!K135,'INFORME FINAL JUNIO'!K136,'INFORME FINAL JUNIO'!K137,'INFORME FINAL JUNIO'!K138,'INFORME FINAL JUNIO'!K139,'INFORME FINAL JUNIO'!K140,'INFORME FINAL JUNIO'!K141,'INFORME FINAL JUNIO'!K142,'INFORME FINAL JUNIO'!K143,'INFORME FINAL JUNIO'!K144,'INFORME FINAL JUNIO'!K145,'INFORME FINAL JUNIO'!K146,'INFORME FINAL JUNIO'!K147,'INFORME FINAL JUNIO'!K148,'INFORME FINAL JUNIO'!K149,'INFORME FINAL JUNIO'!K150,'INFORME FINAL JUNIO'!K151)</f>
        <v>140360793</v>
      </c>
      <c r="H95" s="421"/>
      <c r="I95" s="421"/>
    </row>
    <row r="96" spans="1:9" x14ac:dyDescent="0.25">
      <c r="A96" s="347">
        <v>6542</v>
      </c>
      <c r="B96" s="347">
        <v>7854</v>
      </c>
      <c r="C96" s="348">
        <f>E87</f>
        <v>46439</v>
      </c>
      <c r="D96" s="349">
        <v>0</v>
      </c>
      <c r="E96" s="348">
        <f t="shared" si="4"/>
        <v>46439</v>
      </c>
      <c r="G96">
        <v>0</v>
      </c>
      <c r="H96" s="421"/>
      <c r="I96" s="421"/>
    </row>
    <row r="97" spans="1:9" x14ac:dyDescent="0.25">
      <c r="A97" s="347">
        <v>6541</v>
      </c>
      <c r="B97" s="347" t="s">
        <v>307</v>
      </c>
      <c r="C97" s="348">
        <f>E88</f>
        <v>2311096</v>
      </c>
      <c r="D97" s="349">
        <v>290841</v>
      </c>
      <c r="E97" s="348">
        <f>C97-D97</f>
        <v>2020255</v>
      </c>
      <c r="G97" s="301">
        <f>SUM('INFORME FINAL JUNIO'!K95)</f>
        <v>290841</v>
      </c>
      <c r="H97" s="421"/>
      <c r="I97" s="421"/>
    </row>
    <row r="98" spans="1:9" x14ac:dyDescent="0.25">
      <c r="E98" s="290">
        <f>SUM(E93:E97)</f>
        <v>646329299</v>
      </c>
    </row>
    <row r="99" spans="1:9" x14ac:dyDescent="0.25">
      <c r="C99" s="298">
        <f>SUM(C93:C97)</f>
        <v>797449482</v>
      </c>
      <c r="D99" s="291">
        <f>SUM(D93:D97)</f>
        <v>151120183</v>
      </c>
    </row>
    <row r="100" spans="1:9" x14ac:dyDescent="0.25">
      <c r="A100" s="280" t="s">
        <v>315</v>
      </c>
      <c r="B100" s="280" t="s">
        <v>316</v>
      </c>
      <c r="C100" s="280" t="s">
        <v>317</v>
      </c>
      <c r="D100" s="280" t="s">
        <v>363</v>
      </c>
      <c r="E100" s="280" t="s">
        <v>319</v>
      </c>
    </row>
    <row r="101" spans="1:9" x14ac:dyDescent="0.25">
      <c r="A101" s="282">
        <v>6539</v>
      </c>
      <c r="B101" s="282">
        <v>7850</v>
      </c>
      <c r="C101" s="300">
        <f>SUM(E93)</f>
        <v>26630766</v>
      </c>
      <c r="D101" s="345"/>
      <c r="E101" s="300">
        <f>C101-D101</f>
        <v>26630766</v>
      </c>
    </row>
    <row r="102" spans="1:9" x14ac:dyDescent="0.25">
      <c r="A102" s="282">
        <v>6540</v>
      </c>
      <c r="B102" s="282">
        <v>7851</v>
      </c>
      <c r="C102" s="300">
        <f>E94</f>
        <v>32000304</v>
      </c>
      <c r="D102" s="345"/>
      <c r="E102" s="300">
        <f t="shared" ref="E102:E105" si="5">C102-D102</f>
        <v>32000304</v>
      </c>
    </row>
    <row r="103" spans="1:9" x14ac:dyDescent="0.25">
      <c r="A103" s="282">
        <v>6538</v>
      </c>
      <c r="B103" s="282">
        <v>7852</v>
      </c>
      <c r="C103" s="300">
        <f>E95</f>
        <v>585631535</v>
      </c>
      <c r="D103" s="345"/>
      <c r="E103" s="300">
        <f t="shared" si="5"/>
        <v>585631535</v>
      </c>
    </row>
    <row r="104" spans="1:9" x14ac:dyDescent="0.25">
      <c r="A104" s="282">
        <v>6542</v>
      </c>
      <c r="B104" s="282">
        <v>7854</v>
      </c>
      <c r="C104" s="300">
        <f>E96</f>
        <v>46439</v>
      </c>
      <c r="D104" s="345"/>
      <c r="E104" s="300">
        <f t="shared" si="5"/>
        <v>46439</v>
      </c>
    </row>
    <row r="105" spans="1:9" x14ac:dyDescent="0.25">
      <c r="A105" s="282">
        <v>6541</v>
      </c>
      <c r="B105" s="282" t="s">
        <v>307</v>
      </c>
      <c r="C105" s="300">
        <f>E97</f>
        <v>2020255</v>
      </c>
      <c r="D105" s="345"/>
      <c r="E105" s="300">
        <f t="shared" si="5"/>
        <v>2020255</v>
      </c>
    </row>
    <row r="106" spans="1:9" x14ac:dyDescent="0.25">
      <c r="E106" s="351">
        <f>SUM(E101:E105)</f>
        <v>646329299</v>
      </c>
    </row>
    <row r="107" spans="1:9" x14ac:dyDescent="0.25">
      <c r="C107" s="298">
        <f>SUM(C101:C105)</f>
        <v>646329299</v>
      </c>
      <c r="D107" s="301">
        <f>SUM(D101:D105)</f>
        <v>0</v>
      </c>
    </row>
  </sheetData>
  <mergeCells count="23">
    <mergeCell ref="A91:E91"/>
    <mergeCell ref="A55:E55"/>
    <mergeCell ref="A62:D62"/>
    <mergeCell ref="A64:E64"/>
    <mergeCell ref="A71:D71"/>
    <mergeCell ref="A73:E73"/>
    <mergeCell ref="A80:D80"/>
    <mergeCell ref="H91:I97"/>
    <mergeCell ref="H90:I90"/>
    <mergeCell ref="A53:D53"/>
    <mergeCell ref="A1:E1"/>
    <mergeCell ref="A8:D8"/>
    <mergeCell ref="A10:E10"/>
    <mergeCell ref="A17:D17"/>
    <mergeCell ref="A19:E19"/>
    <mergeCell ref="A26:D26"/>
    <mergeCell ref="A28:E28"/>
    <mergeCell ref="A35:D35"/>
    <mergeCell ref="A37:E37"/>
    <mergeCell ref="A44:D44"/>
    <mergeCell ref="A46:E46"/>
    <mergeCell ref="A82:E82"/>
    <mergeCell ref="A89:D89"/>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37281-980D-D948-B1E7-9E88CF0AD30B}">
  <sheetPr>
    <tabColor rgb="FF00B050"/>
  </sheetPr>
  <dimension ref="A1:AE191"/>
  <sheetViews>
    <sheetView view="pageBreakPreview" topLeftCell="D135" zoomScaleNormal="59" zoomScaleSheetLayoutView="100" workbookViewId="0">
      <selection activeCell="E168" sqref="E168"/>
    </sheetView>
  </sheetViews>
  <sheetFormatPr baseColWidth="10" defaultColWidth="11.42578125" defaultRowHeight="12.75" x14ac:dyDescent="0.2"/>
  <cols>
    <col min="1" max="1" width="58.42578125" style="3" customWidth="1"/>
    <col min="2" max="2" width="27.42578125" style="3" customWidth="1"/>
    <col min="3" max="3" width="20.85546875" style="3" customWidth="1"/>
    <col min="4" max="5" width="44.4257812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43.42578125" style="3" customWidth="1"/>
    <col min="16" max="16" width="29.28515625" style="3" customWidth="1"/>
    <col min="17" max="17" width="23.85546875" style="3" customWidth="1"/>
    <col min="18" max="18" width="18.140625" style="3" customWidth="1"/>
    <col min="19" max="19" width="35.42578125" style="3" customWidth="1"/>
    <col min="20" max="20" width="20.28515625" style="3" customWidth="1"/>
    <col min="21" max="21" width="19" style="3" customWidth="1"/>
    <col min="22" max="23" width="25.42578125" style="3" customWidth="1"/>
    <col min="24" max="24" width="42.710937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379" t="s">
        <v>0</v>
      </c>
      <c r="B1" s="379"/>
      <c r="C1" s="379"/>
      <c r="D1" s="379"/>
      <c r="E1" s="379"/>
      <c r="F1" s="379"/>
      <c r="G1" s="379"/>
      <c r="H1" s="2"/>
      <c r="I1" s="2"/>
      <c r="J1" s="2"/>
      <c r="K1" s="2"/>
      <c r="L1" s="2"/>
      <c r="M1" s="2"/>
      <c r="N1" s="2"/>
      <c r="O1" s="2"/>
      <c r="P1" s="2"/>
      <c r="Q1" s="2"/>
      <c r="R1" s="2"/>
      <c r="S1" s="2"/>
      <c r="T1" s="2"/>
      <c r="U1" s="2"/>
      <c r="V1" s="2"/>
      <c r="W1" s="2"/>
      <c r="X1" s="2"/>
      <c r="Y1" s="2"/>
    </row>
    <row r="2" spans="1:31" ht="15.75" x14ac:dyDescent="0.2">
      <c r="A2" s="379" t="s">
        <v>1</v>
      </c>
      <c r="B2" s="379"/>
      <c r="C2" s="379"/>
      <c r="D2" s="379"/>
      <c r="E2" s="379"/>
      <c r="F2" s="379"/>
      <c r="G2" s="379"/>
      <c r="H2" s="2"/>
      <c r="I2" s="355" t="s">
        <v>2</v>
      </c>
      <c r="J2" s="356"/>
      <c r="K2" s="356"/>
      <c r="L2" s="356"/>
      <c r="M2" s="356"/>
      <c r="N2" s="356"/>
      <c r="O2" s="356"/>
      <c r="P2" s="358"/>
      <c r="Q2" s="2"/>
      <c r="R2" s="355" t="s">
        <v>3</v>
      </c>
      <c r="S2" s="356"/>
      <c r="T2" s="356"/>
      <c r="U2" s="356"/>
      <c r="V2" s="356"/>
      <c r="W2" s="356"/>
      <c r="X2" s="356"/>
      <c r="Y2" s="358"/>
      <c r="AA2" s="375"/>
      <c r="AB2" s="375"/>
      <c r="AC2" s="375"/>
      <c r="AD2" s="375"/>
      <c r="AE2" s="375"/>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7" t="s">
        <v>11</v>
      </c>
      <c r="S3" s="7" t="s">
        <v>4</v>
      </c>
      <c r="T3" s="8" t="s">
        <v>5</v>
      </c>
      <c r="U3" s="8" t="s">
        <v>6</v>
      </c>
      <c r="V3" s="8" t="s">
        <v>7</v>
      </c>
      <c r="W3" s="8" t="s">
        <v>8</v>
      </c>
      <c r="X3" s="8" t="s">
        <v>9</v>
      </c>
      <c r="Y3" s="8" t="s">
        <v>10</v>
      </c>
      <c r="AA3" s="4"/>
      <c r="AB3" s="9"/>
      <c r="AC3" s="9"/>
      <c r="AD3" s="9"/>
      <c r="AE3" s="9"/>
    </row>
    <row r="4" spans="1:31" ht="15.75" x14ac:dyDescent="0.25">
      <c r="A4" s="10" t="s">
        <v>12</v>
      </c>
      <c r="B4" s="11">
        <f t="shared" ref="B4:B10" si="0">+IF(F4=0,0,MID(F4,LEN(F4)-3,1))</f>
        <v>0</v>
      </c>
      <c r="C4" s="12">
        <v>1</v>
      </c>
      <c r="D4" s="12" t="s">
        <v>13</v>
      </c>
      <c r="E4" s="13">
        <f t="shared" ref="E4:E10" si="1">+IF(F4=0,0,CONCATENATE(MID(F4,FIND("-",F4,1)+1,4),"ORAS"))</f>
        <v>0</v>
      </c>
      <c r="F4" s="14">
        <v>0</v>
      </c>
      <c r="G4" s="308">
        <f>+IF(F4="","",VLOOKUP(F4,$H$139:$I$191,2,FALSE))</f>
        <v>0</v>
      </c>
      <c r="H4" s="2"/>
      <c r="I4" s="15" t="s">
        <v>15</v>
      </c>
      <c r="J4" s="14" t="s">
        <v>22</v>
      </c>
      <c r="K4" s="16">
        <v>0</v>
      </c>
      <c r="L4" s="17">
        <v>1</v>
      </c>
      <c r="M4" s="18" t="s">
        <v>13</v>
      </c>
      <c r="N4" s="13">
        <f>+IF(O4=0,0,CONCATENATE(MID(O4,FIND("-",O4,1)+1,4),"ORAS"))</f>
        <v>0</v>
      </c>
      <c r="O4" s="14">
        <v>0</v>
      </c>
      <c r="P4" s="308">
        <f>+IF(O4="","",VLOOKUP(O4,$H$139:$I$191,2,FALSE))</f>
        <v>0</v>
      </c>
      <c r="Q4" s="2"/>
      <c r="R4" s="15" t="s">
        <v>15</v>
      </c>
      <c r="S4" s="20" t="s">
        <v>18</v>
      </c>
      <c r="T4" s="16">
        <f>+IF(X4=0,0,MID(X4,LEN(X4)-3,1))</f>
        <v>0</v>
      </c>
      <c r="U4" s="309">
        <v>1</v>
      </c>
      <c r="V4" s="22" t="s">
        <v>13</v>
      </c>
      <c r="W4" s="13">
        <f>+IF(X4=0,0,CONCATENATE(MID(X4,FIND("-",X4,1)+1,4),"ORAS"))</f>
        <v>0</v>
      </c>
      <c r="X4" s="14">
        <v>0</v>
      </c>
      <c r="Y4" s="308">
        <f>+IF(X4="","",VLOOKUP(X4,$H$139:$I$191,2,FALSE))</f>
        <v>0</v>
      </c>
      <c r="AA4" s="23"/>
      <c r="AB4" s="24"/>
      <c r="AC4" s="24"/>
      <c r="AD4" s="25"/>
      <c r="AE4" s="26"/>
    </row>
    <row r="5" spans="1:31" ht="15.75" x14ac:dyDescent="0.25">
      <c r="A5" s="14" t="s">
        <v>20</v>
      </c>
      <c r="B5" s="11">
        <f t="shared" si="0"/>
        <v>0</v>
      </c>
      <c r="C5" s="18">
        <v>1</v>
      </c>
      <c r="D5" s="18" t="s">
        <v>13</v>
      </c>
      <c r="E5" s="13">
        <f t="shared" si="1"/>
        <v>0</v>
      </c>
      <c r="F5" s="14">
        <v>0</v>
      </c>
      <c r="G5" s="308">
        <f>+IF(F5="","",VLOOKUP(F5,$H$139:I$191,2,FALSE))</f>
        <v>0</v>
      </c>
      <c r="H5" s="2"/>
      <c r="I5" s="15" t="s">
        <v>15</v>
      </c>
      <c r="J5" s="14" t="s">
        <v>16</v>
      </c>
      <c r="K5" s="16">
        <v>3</v>
      </c>
      <c r="L5" s="17">
        <v>1</v>
      </c>
      <c r="M5" s="18" t="s">
        <v>13</v>
      </c>
      <c r="N5" s="13">
        <f>+IF(O5=0,0,CONCATENATE(MID(O5,FIND("-",O5,1)+1,4),"ORAS"))</f>
        <v>0</v>
      </c>
      <c r="O5" s="14">
        <v>0</v>
      </c>
      <c r="P5" s="308">
        <f>+IF(O5="","",VLOOKUP(O5,$H$139:$I$191,2,FALSE))</f>
        <v>0</v>
      </c>
      <c r="Q5" s="2"/>
      <c r="R5" s="15" t="s">
        <v>15</v>
      </c>
      <c r="S5" s="20" t="s">
        <v>24</v>
      </c>
      <c r="T5" s="16">
        <f>+IF(X5=0,0,MID(X5,LEN(X5)-3,1))</f>
        <v>0</v>
      </c>
      <c r="U5" s="309">
        <v>1</v>
      </c>
      <c r="V5" s="22" t="s">
        <v>13</v>
      </c>
      <c r="W5" s="13">
        <f>+IF(X5=0,0,CONCATENATE(MID(X5,FIND("-",X5,1)+1,4),"ORAS"))</f>
        <v>0</v>
      </c>
      <c r="X5" s="14">
        <v>0</v>
      </c>
      <c r="Y5" s="308">
        <f>+IF(X5="","",VLOOKUP(X5,$H$139:$I$191,2,FALSE))</f>
        <v>0</v>
      </c>
      <c r="AA5" s="23"/>
      <c r="AB5" s="24"/>
      <c r="AC5" s="24"/>
      <c r="AD5" s="25"/>
      <c r="AE5" s="26"/>
    </row>
    <row r="6" spans="1:31" ht="15.75" x14ac:dyDescent="0.25">
      <c r="A6" s="14" t="s">
        <v>25</v>
      </c>
      <c r="B6" s="11">
        <f t="shared" si="0"/>
        <v>0</v>
      </c>
      <c r="C6" s="18">
        <v>1</v>
      </c>
      <c r="D6" s="18" t="s">
        <v>13</v>
      </c>
      <c r="E6" s="13">
        <f t="shared" si="1"/>
        <v>0</v>
      </c>
      <c r="F6" s="14">
        <v>0</v>
      </c>
      <c r="G6" s="308">
        <f>+IF(F6="","",VLOOKUP(F6,$H$139:I$191,2,FALSE))</f>
        <v>0</v>
      </c>
      <c r="H6" s="2"/>
      <c r="I6" s="15"/>
      <c r="J6" s="14"/>
      <c r="K6" s="16"/>
      <c r="L6" s="17"/>
      <c r="M6" s="18"/>
      <c r="N6" s="13">
        <f>+IF(O6=0,0,CONCATENATE(MID(O6,FIND("-",O6,1)+1,4),"ORAS"))</f>
        <v>0</v>
      </c>
      <c r="O6" s="14">
        <v>0</v>
      </c>
      <c r="P6" s="308">
        <f>+IF(O6="","",VLOOKUP(O6,$H$139:$I$191,2,FALSE))</f>
        <v>0</v>
      </c>
      <c r="Q6" s="2"/>
      <c r="R6" s="15" t="s">
        <v>15</v>
      </c>
      <c r="S6" s="20" t="s">
        <v>26</v>
      </c>
      <c r="T6" s="16">
        <f>+IF(X6=0,0,MID(X6,LEN(X6)-3,1))</f>
        <v>0</v>
      </c>
      <c r="U6" s="309">
        <v>1</v>
      </c>
      <c r="V6" s="22" t="s">
        <v>13</v>
      </c>
      <c r="W6" s="13">
        <f>+IF(X6=0,0,CONCATENATE(MID(X6,FIND("-",X6,1)+1,4),"ORAS"))</f>
        <v>0</v>
      </c>
      <c r="X6" s="14">
        <v>0</v>
      </c>
      <c r="Y6" s="308">
        <f>+IF(X6="","",VLOOKUP(X6,$H$139:$I$191,2,FALSE))</f>
        <v>0</v>
      </c>
      <c r="AA6" s="23"/>
      <c r="AB6" s="24"/>
      <c r="AC6" s="24"/>
      <c r="AD6" s="25"/>
      <c r="AE6" s="26"/>
    </row>
    <row r="7" spans="1:31" ht="15.75" x14ac:dyDescent="0.25">
      <c r="A7" s="14" t="s">
        <v>27</v>
      </c>
      <c r="B7" s="11">
        <f t="shared" si="0"/>
        <v>0</v>
      </c>
      <c r="C7" s="18">
        <v>1</v>
      </c>
      <c r="D7" s="18" t="s">
        <v>13</v>
      </c>
      <c r="E7" s="13">
        <f t="shared" si="1"/>
        <v>0</v>
      </c>
      <c r="F7" s="14">
        <v>0</v>
      </c>
      <c r="G7" s="308">
        <f>+IF(F7="","",VLOOKUP(F7,$H$139:I$191,2,FALSE))</f>
        <v>0</v>
      </c>
      <c r="H7" s="2"/>
      <c r="I7" s="15"/>
      <c r="J7" s="14"/>
      <c r="K7" s="16"/>
      <c r="L7" s="17"/>
      <c r="M7" s="18"/>
      <c r="N7" s="13"/>
      <c r="O7" s="14">
        <v>0</v>
      </c>
      <c r="P7" s="308">
        <f>+IF(O7="","",VLOOKUP(O7,$H$139:$I$191,2,FALSE))</f>
        <v>0</v>
      </c>
      <c r="Q7" s="2"/>
      <c r="R7" s="27"/>
      <c r="S7" s="310"/>
      <c r="T7" s="16"/>
      <c r="U7" s="311"/>
      <c r="V7" s="12"/>
      <c r="W7" s="13"/>
      <c r="X7" s="14">
        <v>0</v>
      </c>
      <c r="Y7" s="30">
        <f>+IF(X7="","",VLOOKUP(X7,$H$139:$I$185,2,FALSE))</f>
        <v>0</v>
      </c>
      <c r="AA7" s="23"/>
      <c r="AB7" s="23"/>
      <c r="AC7" s="23"/>
      <c r="AD7" s="23"/>
      <c r="AE7" s="23"/>
    </row>
    <row r="8" spans="1:31" ht="15.75" x14ac:dyDescent="0.25">
      <c r="A8" s="14" t="s">
        <v>28</v>
      </c>
      <c r="B8" s="11">
        <f t="shared" si="0"/>
        <v>0</v>
      </c>
      <c r="C8" s="18">
        <v>1</v>
      </c>
      <c r="D8" s="18" t="s">
        <v>13</v>
      </c>
      <c r="E8" s="13">
        <f t="shared" si="1"/>
        <v>0</v>
      </c>
      <c r="F8" s="14">
        <v>0</v>
      </c>
      <c r="G8" s="308">
        <f>+IF(F8="","",VLOOKUP(F8,$H$139:I$191,2,FALSE))</f>
        <v>0</v>
      </c>
      <c r="H8" s="2"/>
      <c r="I8" s="15"/>
      <c r="J8" s="14"/>
      <c r="K8" s="16"/>
      <c r="L8" s="17"/>
      <c r="M8" s="18"/>
      <c r="N8" s="13"/>
      <c r="O8" s="14">
        <v>0</v>
      </c>
      <c r="P8" s="308">
        <f>+IF(O8="","",VLOOKUP(O8,$H$139:$I$191,2,FALSE))</f>
        <v>0</v>
      </c>
      <c r="Q8" s="2"/>
      <c r="R8" s="15"/>
      <c r="S8" s="312"/>
      <c r="T8" s="309"/>
      <c r="U8" s="309">
        <f>+U4+U5+U6+U7</f>
        <v>3</v>
      </c>
      <c r="V8" s="18"/>
      <c r="W8" s="14"/>
      <c r="X8" s="14"/>
      <c r="Y8" s="32"/>
      <c r="AA8" s="23"/>
      <c r="AB8" s="23"/>
      <c r="AC8" s="23"/>
      <c r="AD8" s="23"/>
      <c r="AE8" s="23"/>
    </row>
    <row r="9" spans="1:31" ht="15.75" x14ac:dyDescent="0.25">
      <c r="A9" s="33" t="s">
        <v>30</v>
      </c>
      <c r="B9" s="11">
        <f t="shared" si="0"/>
        <v>0</v>
      </c>
      <c r="C9" s="18">
        <v>1</v>
      </c>
      <c r="D9" s="18" t="s">
        <v>13</v>
      </c>
      <c r="E9" s="13">
        <f t="shared" si="1"/>
        <v>0</v>
      </c>
      <c r="F9" s="14">
        <v>0</v>
      </c>
      <c r="G9" s="308">
        <f>+IF(F9="","",VLOOKUP(F9,$H$139:I$191,2,FALSE))</f>
        <v>0</v>
      </c>
      <c r="H9" s="2"/>
      <c r="I9" s="34"/>
      <c r="J9" s="14"/>
      <c r="K9" s="16"/>
      <c r="L9" s="35"/>
      <c r="M9" s="35"/>
      <c r="N9" s="14"/>
      <c r="O9" s="14"/>
      <c r="P9" s="36"/>
      <c r="Q9" s="2"/>
      <c r="R9" s="37"/>
      <c r="S9" s="313"/>
      <c r="T9" s="313"/>
      <c r="U9" s="313"/>
      <c r="V9" s="39"/>
      <c r="W9" s="39"/>
      <c r="X9" s="39"/>
      <c r="Y9" s="2"/>
      <c r="AA9" s="23"/>
      <c r="AB9" s="23"/>
      <c r="AC9" s="23"/>
      <c r="AD9" s="23"/>
      <c r="AE9" s="23"/>
    </row>
    <row r="10" spans="1:31" ht="15.75" x14ac:dyDescent="0.25">
      <c r="A10" s="33" t="s">
        <v>31</v>
      </c>
      <c r="B10" s="11">
        <f t="shared" si="0"/>
        <v>0</v>
      </c>
      <c r="C10" s="18">
        <v>1</v>
      </c>
      <c r="D10" s="18" t="s">
        <v>13</v>
      </c>
      <c r="E10" s="13">
        <f t="shared" si="1"/>
        <v>0</v>
      </c>
      <c r="F10" s="14">
        <v>0</v>
      </c>
      <c r="G10" s="308">
        <f>+IF(F10="","",VLOOKUP(F10,$H$139:I$191,2,FALSE))</f>
        <v>0</v>
      </c>
      <c r="H10" s="2"/>
      <c r="I10" s="34"/>
      <c r="J10" s="14"/>
      <c r="K10" s="16"/>
      <c r="L10" s="35"/>
      <c r="M10" s="35"/>
      <c r="N10" s="14"/>
      <c r="O10" s="14"/>
      <c r="P10" s="36"/>
      <c r="Q10" s="2"/>
      <c r="R10" s="37"/>
      <c r="S10" s="313"/>
      <c r="T10" s="313"/>
      <c r="U10" s="313"/>
      <c r="V10" s="39"/>
      <c r="W10" s="39"/>
      <c r="X10" s="39"/>
      <c r="Y10" s="2"/>
      <c r="AA10" s="23"/>
      <c r="AB10" s="23"/>
      <c r="AC10" s="23"/>
      <c r="AD10" s="23"/>
      <c r="AE10" s="23"/>
    </row>
    <row r="11" spans="1:31" ht="15.75" x14ac:dyDescent="0.25">
      <c r="A11" s="41"/>
      <c r="B11" s="11"/>
      <c r="C11" s="18"/>
      <c r="D11" s="18"/>
      <c r="E11" s="13"/>
      <c r="F11" s="14"/>
      <c r="G11" s="30"/>
      <c r="H11" s="2"/>
      <c r="I11" s="34"/>
      <c r="J11" s="14"/>
      <c r="K11" s="16"/>
      <c r="L11" s="35"/>
      <c r="M11" s="35"/>
      <c r="N11" s="14"/>
      <c r="O11" s="14"/>
      <c r="P11" s="40"/>
      <c r="Q11" s="2"/>
      <c r="R11" s="37"/>
      <c r="S11" s="313"/>
      <c r="T11" s="313"/>
      <c r="U11" s="313"/>
      <c r="V11" s="39"/>
      <c r="W11" s="39"/>
      <c r="X11" s="39"/>
      <c r="Y11" s="2"/>
      <c r="AA11" s="23"/>
      <c r="AB11" s="23"/>
      <c r="AC11" s="23"/>
      <c r="AD11" s="23"/>
      <c r="AE11" s="23"/>
    </row>
    <row r="12" spans="1:31" ht="15.75" x14ac:dyDescent="0.25">
      <c r="A12" s="41"/>
      <c r="B12" s="11"/>
      <c r="C12" s="18"/>
      <c r="D12" s="18"/>
      <c r="E12" s="13"/>
      <c r="F12" s="14"/>
      <c r="G12" s="30"/>
      <c r="H12" s="2"/>
      <c r="I12" s="34"/>
      <c r="J12" s="14"/>
      <c r="K12" s="16"/>
      <c r="L12" s="35"/>
      <c r="M12" s="35"/>
      <c r="N12" s="14"/>
      <c r="O12" s="14"/>
      <c r="P12" s="40"/>
      <c r="Q12" s="2"/>
      <c r="R12" s="37"/>
      <c r="S12" s="313"/>
      <c r="T12" s="313"/>
      <c r="U12" s="313"/>
      <c r="V12" s="39"/>
      <c r="W12" s="39"/>
      <c r="X12" s="39"/>
      <c r="Y12" s="2"/>
      <c r="AA12" s="23"/>
      <c r="AB12" s="23"/>
      <c r="AC12" s="23"/>
      <c r="AD12" s="23"/>
      <c r="AE12" s="23"/>
    </row>
    <row r="13" spans="1:31" ht="15.75" x14ac:dyDescent="0.25">
      <c r="A13" s="42"/>
      <c r="B13" s="11">
        <f>+B10+B9+B8+B7+B6+B5+B4</f>
        <v>0</v>
      </c>
      <c r="C13" s="11">
        <f>+C10+C9+C8+C7+C6+C5+C4</f>
        <v>7</v>
      </c>
      <c r="D13" s="43"/>
      <c r="E13" s="43"/>
      <c r="F13" s="14"/>
      <c r="G13" s="44">
        <f>SUM(G4:G12)</f>
        <v>0</v>
      </c>
      <c r="H13" s="2"/>
      <c r="I13" s="34"/>
      <c r="J13" s="14"/>
      <c r="K13" s="16"/>
      <c r="L13" s="17"/>
      <c r="M13" s="35"/>
      <c r="N13" s="14"/>
      <c r="O13" s="14"/>
      <c r="P13" s="45"/>
      <c r="Q13" s="2"/>
      <c r="R13" s="355" t="s">
        <v>32</v>
      </c>
      <c r="S13" s="356"/>
      <c r="T13" s="356"/>
      <c r="U13" s="356"/>
      <c r="V13" s="356"/>
      <c r="W13" s="356"/>
      <c r="X13" s="356"/>
      <c r="Y13" s="358"/>
      <c r="AA13" s="23"/>
      <c r="AB13" s="23"/>
      <c r="AC13" s="23"/>
      <c r="AD13" s="23"/>
      <c r="AE13" s="23"/>
    </row>
    <row r="14" spans="1:31" ht="16.5" customHeight="1" x14ac:dyDescent="0.25">
      <c r="A14" s="368" t="s">
        <v>33</v>
      </c>
      <c r="B14" s="368"/>
      <c r="C14" s="368"/>
      <c r="D14" s="368"/>
      <c r="E14" s="368"/>
      <c r="F14" s="368"/>
      <c r="G14" s="368"/>
      <c r="H14" s="2"/>
      <c r="I14" s="34"/>
      <c r="J14" s="14"/>
      <c r="K14" s="16"/>
      <c r="L14" s="17"/>
      <c r="M14" s="35"/>
      <c r="N14" s="14"/>
      <c r="O14" s="14"/>
      <c r="P14" s="46"/>
      <c r="Q14" s="2"/>
      <c r="R14" s="7" t="s">
        <v>11</v>
      </c>
      <c r="S14" s="7" t="s">
        <v>4</v>
      </c>
      <c r="T14" s="8" t="s">
        <v>5</v>
      </c>
      <c r="U14" s="8" t="s">
        <v>6</v>
      </c>
      <c r="V14" s="8" t="s">
        <v>7</v>
      </c>
      <c r="W14" s="8" t="s">
        <v>8</v>
      </c>
      <c r="X14" s="8" t="s">
        <v>9</v>
      </c>
      <c r="Y14" s="8" t="s">
        <v>10</v>
      </c>
      <c r="Z14" s="47"/>
    </row>
    <row r="15" spans="1:31" ht="15.75" x14ac:dyDescent="0.2">
      <c r="A15" s="1" t="s">
        <v>4</v>
      </c>
      <c r="B15" s="5" t="s">
        <v>5</v>
      </c>
      <c r="C15" s="5" t="s">
        <v>6</v>
      </c>
      <c r="D15" s="5" t="s">
        <v>7</v>
      </c>
      <c r="E15" s="5" t="s">
        <v>8</v>
      </c>
      <c r="F15" s="48" t="s">
        <v>9</v>
      </c>
      <c r="G15" s="5" t="s">
        <v>10</v>
      </c>
      <c r="H15" s="2"/>
      <c r="I15" s="42"/>
      <c r="J15" s="42"/>
      <c r="K15" s="42"/>
      <c r="L15" s="42"/>
      <c r="M15" s="42"/>
      <c r="N15" s="14"/>
      <c r="O15" s="14"/>
      <c r="P15" s="49"/>
      <c r="Q15" s="2"/>
      <c r="R15" s="50" t="s">
        <v>15</v>
      </c>
      <c r="S15" s="20" t="s">
        <v>34</v>
      </c>
      <c r="T15" s="16">
        <v>3</v>
      </c>
      <c r="U15" s="20">
        <v>0</v>
      </c>
      <c r="V15" s="20" t="s">
        <v>35</v>
      </c>
      <c r="W15" s="13">
        <f>+IF(X15=0,0,CONCATENATE(MID(X15,FIND("-",X15,1)+1,4),"ORAS"))</f>
        <v>0</v>
      </c>
      <c r="X15" s="14">
        <v>0</v>
      </c>
      <c r="Y15" s="308">
        <f>+IF(X15="","",VLOOKUP(X15,$H$139:$I$191,2,FALSE))</f>
        <v>0</v>
      </c>
    </row>
    <row r="16" spans="1:31" ht="18.75" customHeight="1" x14ac:dyDescent="0.2">
      <c r="A16" s="33" t="s">
        <v>29</v>
      </c>
      <c r="B16" s="51">
        <f>+IF(F16=0,0,MID(F16,LEN(F16)-3,1))</f>
        <v>0</v>
      </c>
      <c r="C16" s="311">
        <v>1</v>
      </c>
      <c r="D16" s="12" t="s">
        <v>13</v>
      </c>
      <c r="E16" s="13">
        <f>+IF(F16=0,0,CONCATENATE(MID(F16,FIND("-",F16,1)+1,4),"ORAS"))</f>
        <v>0</v>
      </c>
      <c r="F16" s="14">
        <v>0</v>
      </c>
      <c r="G16" s="308">
        <f>+IF(F16="","",VLOOKUP(F16,$H$139:I$191,2,FALSE))</f>
        <v>0</v>
      </c>
      <c r="H16" s="2"/>
      <c r="I16" s="369" t="s">
        <v>37</v>
      </c>
      <c r="J16" s="357"/>
      <c r="K16" s="357"/>
      <c r="L16" s="357"/>
      <c r="M16" s="357"/>
      <c r="N16" s="357"/>
      <c r="O16" s="357"/>
      <c r="P16" s="370"/>
      <c r="Q16" s="2"/>
      <c r="R16" s="50" t="s">
        <v>15</v>
      </c>
      <c r="S16" s="20" t="s">
        <v>38</v>
      </c>
      <c r="T16" s="16">
        <v>2</v>
      </c>
      <c r="U16" s="20">
        <v>0</v>
      </c>
      <c r="V16" s="20" t="s">
        <v>35</v>
      </c>
      <c r="W16" s="14">
        <f>+IF(X16=0,0,CONCATENATE(MID(X16,FIND("-",X16,1)+1,4),"ORAS"))</f>
        <v>0</v>
      </c>
      <c r="X16" s="14">
        <v>0</v>
      </c>
      <c r="Y16" s="308">
        <f>+IF(X16="","",VLOOKUP(X16,$H$139:$I$191,2,FALSE))</f>
        <v>0</v>
      </c>
    </row>
    <row r="17" spans="1:31" ht="23.25" customHeight="1" x14ac:dyDescent="0.2">
      <c r="A17" s="52"/>
      <c r="B17" s="16"/>
      <c r="C17" s="309"/>
      <c r="D17" s="18"/>
      <c r="E17" s="14"/>
      <c r="F17" s="14"/>
      <c r="G17" s="30"/>
      <c r="H17" s="2"/>
      <c r="I17" s="7" t="s">
        <v>11</v>
      </c>
      <c r="J17" s="7" t="s">
        <v>4</v>
      </c>
      <c r="K17" s="8" t="s">
        <v>5</v>
      </c>
      <c r="L17" s="8" t="s">
        <v>6</v>
      </c>
      <c r="M17" s="8" t="s">
        <v>7</v>
      </c>
      <c r="N17" s="8" t="s">
        <v>8</v>
      </c>
      <c r="O17" s="8" t="s">
        <v>9</v>
      </c>
      <c r="P17" s="8" t="s">
        <v>10</v>
      </c>
      <c r="Q17" s="2"/>
      <c r="R17" s="2"/>
      <c r="S17" s="2"/>
      <c r="T17" s="2"/>
      <c r="U17" s="2"/>
      <c r="V17" s="2"/>
      <c r="W17" s="2"/>
      <c r="X17" s="2"/>
      <c r="Y17" s="2"/>
    </row>
    <row r="18" spans="1:31" ht="15.75" x14ac:dyDescent="0.25">
      <c r="A18" s="52"/>
      <c r="B18" s="16"/>
      <c r="C18" s="309"/>
      <c r="D18" s="18"/>
      <c r="E18" s="14"/>
      <c r="F18" s="14"/>
      <c r="G18" s="30"/>
      <c r="H18" s="2"/>
      <c r="I18" s="15" t="s">
        <v>336</v>
      </c>
      <c r="J18" s="14" t="s">
        <v>337</v>
      </c>
      <c r="K18" s="16"/>
      <c r="L18" s="17">
        <v>1</v>
      </c>
      <c r="M18" s="18" t="s">
        <v>13</v>
      </c>
      <c r="N18" s="13">
        <f>+IF(O18=0,0,CONCATENATE(MID(O18,FIND("-",O18,1)+1,4),"ORAS"))</f>
        <v>0</v>
      </c>
      <c r="O18" s="14">
        <v>0</v>
      </c>
      <c r="P18" s="308">
        <f>+IF(O18="","",VLOOKUP(O18,$H$139:$I$191,2,FALSE))</f>
        <v>0</v>
      </c>
      <c r="Q18" s="2"/>
      <c r="R18" s="355" t="s">
        <v>39</v>
      </c>
      <c r="S18" s="356"/>
      <c r="T18" s="356"/>
      <c r="U18" s="356"/>
      <c r="V18" s="356"/>
      <c r="W18" s="356"/>
      <c r="X18" s="356"/>
      <c r="Y18" s="358"/>
    </row>
    <row r="19" spans="1:31" ht="15.75" x14ac:dyDescent="0.25">
      <c r="A19" s="53"/>
      <c r="B19" s="16"/>
      <c r="C19" s="18"/>
      <c r="D19" s="18"/>
      <c r="E19" s="14"/>
      <c r="F19" s="14"/>
      <c r="G19" s="30"/>
      <c r="H19" s="2"/>
      <c r="I19" s="15"/>
      <c r="J19" s="14"/>
      <c r="K19" s="16"/>
      <c r="L19" s="54"/>
      <c r="M19" s="54"/>
      <c r="N19" s="13">
        <f>+IF(O19=0,0,CONCATENATE(MID(O19,FIND("-",O19,1)+1,4),"ORAS"))</f>
        <v>0</v>
      </c>
      <c r="O19" s="14">
        <v>0</v>
      </c>
      <c r="P19" s="308">
        <f>+IF(O19="","",VLOOKUP(O19,$H$139:$I$191,2,FALSE))</f>
        <v>0</v>
      </c>
      <c r="Q19" s="2"/>
      <c r="R19" s="7" t="s">
        <v>11</v>
      </c>
      <c r="S19" s="7" t="s">
        <v>4</v>
      </c>
      <c r="T19" s="8" t="s">
        <v>5</v>
      </c>
      <c r="U19" s="8" t="s">
        <v>6</v>
      </c>
      <c r="V19" s="8" t="s">
        <v>7</v>
      </c>
      <c r="W19" s="8" t="s">
        <v>8</v>
      </c>
      <c r="X19" s="8" t="s">
        <v>9</v>
      </c>
      <c r="Y19" s="8" t="s">
        <v>10</v>
      </c>
      <c r="AA19" s="23"/>
      <c r="AB19" s="23"/>
      <c r="AC19" s="23"/>
      <c r="AD19" s="23"/>
      <c r="AE19" s="23"/>
    </row>
    <row r="20" spans="1:31" ht="15.75" x14ac:dyDescent="0.25">
      <c r="A20" s="56"/>
      <c r="B20" s="16"/>
      <c r="C20" s="57"/>
      <c r="D20" s="57"/>
      <c r="E20" s="14"/>
      <c r="F20" s="14"/>
      <c r="G20" s="30"/>
      <c r="H20" s="2"/>
      <c r="I20" s="34"/>
      <c r="J20" s="13"/>
      <c r="K20" s="16"/>
      <c r="L20" s="58"/>
      <c r="M20" s="22"/>
      <c r="N20" s="13"/>
      <c r="O20" s="14"/>
      <c r="P20" s="59"/>
      <c r="Q20" s="2"/>
      <c r="R20" s="5" t="s">
        <v>40</v>
      </c>
      <c r="S20" s="20" t="s">
        <v>34</v>
      </c>
      <c r="T20" s="16" t="s">
        <v>35</v>
      </c>
      <c r="U20" s="20" t="s">
        <v>35</v>
      </c>
      <c r="V20" s="12" t="s">
        <v>13</v>
      </c>
      <c r="W20" s="13">
        <f>+IF(X20=0,0,CONCATENATE(MID(X20,FIND("-",X20,1)+1,4),"ORAS"))</f>
        <v>0</v>
      </c>
      <c r="X20" s="14">
        <v>0</v>
      </c>
      <c r="Y20" s="308">
        <f>+IF(X20="","",VLOOKUP(X20,$H$139:$I$191,2,FALSE))</f>
        <v>0</v>
      </c>
      <c r="AA20" s="23"/>
      <c r="AB20" s="23"/>
      <c r="AC20" s="23"/>
      <c r="AD20" s="23"/>
      <c r="AE20" s="23"/>
    </row>
    <row r="21" spans="1:31" ht="15.75" x14ac:dyDescent="0.25">
      <c r="A21" s="56"/>
      <c r="B21" s="16"/>
      <c r="C21" s="57"/>
      <c r="D21" s="57"/>
      <c r="E21" s="14"/>
      <c r="F21" s="57"/>
      <c r="G21" s="30"/>
      <c r="H21" s="2"/>
      <c r="I21" s="34"/>
      <c r="J21" s="13"/>
      <c r="K21" s="16"/>
      <c r="L21" s="58"/>
      <c r="M21" s="22"/>
      <c r="N21" s="13"/>
      <c r="O21" s="14"/>
      <c r="P21" s="59"/>
      <c r="Q21" s="2"/>
      <c r="R21" s="50" t="s">
        <v>15</v>
      </c>
      <c r="S21" s="20" t="s">
        <v>34</v>
      </c>
      <c r="T21" s="16" t="s">
        <v>35</v>
      </c>
      <c r="U21" s="20">
        <v>1</v>
      </c>
      <c r="V21" s="12" t="s">
        <v>13</v>
      </c>
      <c r="W21" s="13">
        <f>+IF(X21=0,0,CONCATENATE(MID(X21,FIND("-",X21,1)+1,4),"ORAS"))</f>
        <v>0</v>
      </c>
      <c r="X21" s="14">
        <v>0</v>
      </c>
      <c r="Y21" s="308">
        <f>+IF(X21="","",VLOOKUP(X21,$H$139:$I$191,2,FALSE))</f>
        <v>0</v>
      </c>
      <c r="AA21" s="23"/>
      <c r="AB21" s="23"/>
      <c r="AC21" s="23"/>
      <c r="AD21" s="23"/>
      <c r="AE21" s="23"/>
    </row>
    <row r="22" spans="1:31" ht="15.75" x14ac:dyDescent="0.25">
      <c r="A22" s="60" t="s">
        <v>42</v>
      </c>
      <c r="B22" s="61">
        <f>SUM(B4:B13)+B16+B17+B18+B19+B20+B21</f>
        <v>0</v>
      </c>
      <c r="C22" s="61">
        <f>+C4+C5+C6+C7+C8+C9+C10+C16</f>
        <v>8</v>
      </c>
      <c r="D22" s="62"/>
      <c r="E22" s="63"/>
      <c r="F22" s="62"/>
      <c r="G22" s="44">
        <f>SUM(G13,G16:G21)</f>
        <v>0</v>
      </c>
      <c r="H22" s="2"/>
      <c r="I22" s="34"/>
      <c r="J22" s="14"/>
      <c r="K22" s="16"/>
      <c r="L22" s="54"/>
      <c r="M22" s="54"/>
      <c r="N22" s="13"/>
      <c r="O22" s="14"/>
      <c r="P22" s="59"/>
      <c r="Q22" s="2"/>
      <c r="R22" s="50" t="s">
        <v>15</v>
      </c>
      <c r="S22" s="20" t="s">
        <v>34</v>
      </c>
      <c r="T22" s="16" t="s">
        <v>35</v>
      </c>
      <c r="U22" s="20" t="s">
        <v>35</v>
      </c>
      <c r="V22" s="18" t="s">
        <v>13</v>
      </c>
      <c r="W22" s="14">
        <f>+IF(X22=0,0,CONCATENATE(MID(X22,FIND("-",X22,1)+1,4),"ORAS"))</f>
        <v>0</v>
      </c>
      <c r="X22" s="14">
        <v>0</v>
      </c>
      <c r="Y22" s="308">
        <f>+IF(X22="","",VLOOKUP(X22,$H$139:$I$191,2,FALSE))</f>
        <v>0</v>
      </c>
      <c r="AA22" s="23"/>
      <c r="AB22" s="23"/>
      <c r="AC22" s="23"/>
      <c r="AD22" s="23"/>
      <c r="AE22" s="23"/>
    </row>
    <row r="23" spans="1:31" ht="15.75" x14ac:dyDescent="0.25">
      <c r="A23" s="371" t="s">
        <v>43</v>
      </c>
      <c r="B23" s="371"/>
      <c r="C23" s="371"/>
      <c r="D23" s="371"/>
      <c r="E23" s="371"/>
      <c r="F23" s="371"/>
      <c r="G23" s="371"/>
      <c r="H23" s="2"/>
      <c r="I23" s="65"/>
      <c r="J23" s="14"/>
      <c r="K23" s="16"/>
      <c r="L23" s="54"/>
      <c r="M23" s="22"/>
      <c r="N23" s="13"/>
      <c r="O23" s="14"/>
      <c r="P23" s="66"/>
      <c r="Q23" s="2"/>
      <c r="R23" s="67" t="s">
        <v>44</v>
      </c>
      <c r="S23" s="20" t="s">
        <v>34</v>
      </c>
      <c r="T23" s="16" t="s">
        <v>35</v>
      </c>
      <c r="U23" s="20" t="s">
        <v>35</v>
      </c>
      <c r="V23" s="18" t="s">
        <v>13</v>
      </c>
      <c r="W23" s="14">
        <f>+IF(X23=0,0,CONCATENATE(MID(X23,FIND("-",X23,1)+1,4),"ORAS"))</f>
        <v>0</v>
      </c>
      <c r="X23" s="14">
        <v>0</v>
      </c>
      <c r="Y23" s="308">
        <f>+IF(X23="","",VLOOKUP(X23,$H$139:$I$191,2,FALSE))</f>
        <v>0</v>
      </c>
      <c r="AA23" s="23"/>
      <c r="AB23" s="23"/>
      <c r="AC23" s="23"/>
      <c r="AD23" s="23"/>
      <c r="AE23" s="23"/>
    </row>
    <row r="24" spans="1:31" ht="15.75" x14ac:dyDescent="0.25">
      <c r="A24" s="371" t="s">
        <v>1</v>
      </c>
      <c r="B24" s="371"/>
      <c r="C24" s="371"/>
      <c r="D24" s="371"/>
      <c r="E24" s="371"/>
      <c r="F24" s="371"/>
      <c r="G24" s="371"/>
      <c r="H24" s="2"/>
      <c r="I24" s="34"/>
      <c r="J24" s="68"/>
      <c r="K24" s="16"/>
      <c r="L24" s="35"/>
      <c r="M24" s="35"/>
      <c r="N24" s="14"/>
      <c r="O24" s="14"/>
      <c r="P24" s="69"/>
      <c r="Q24" s="2"/>
      <c r="R24" s="2"/>
      <c r="S24" s="2"/>
      <c r="T24" s="2"/>
      <c r="U24" s="2"/>
      <c r="V24" s="2"/>
      <c r="W24" s="2"/>
      <c r="X24" s="2"/>
      <c r="Y24" s="2"/>
      <c r="AA24" s="23"/>
      <c r="AB24" s="23"/>
      <c r="AC24" s="23"/>
      <c r="AD24" s="23"/>
      <c r="AE24" s="23"/>
    </row>
    <row r="25" spans="1:31" ht="15.75" x14ac:dyDescent="0.2">
      <c r="A25" s="64" t="s">
        <v>4</v>
      </c>
      <c r="B25" s="70" t="s">
        <v>5</v>
      </c>
      <c r="C25" s="70" t="s">
        <v>6</v>
      </c>
      <c r="D25" s="70" t="s">
        <v>7</v>
      </c>
      <c r="E25" s="70" t="s">
        <v>8</v>
      </c>
      <c r="F25" s="70" t="s">
        <v>9</v>
      </c>
      <c r="G25" s="70" t="s">
        <v>10</v>
      </c>
      <c r="H25" s="2"/>
      <c r="I25" s="2"/>
      <c r="J25" s="71" t="s">
        <v>45</v>
      </c>
      <c r="K25" s="72">
        <f>SUM(K4:K15,K18:K24)</f>
        <v>3</v>
      </c>
      <c r="L25" s="72">
        <f>SUM(L4:L24)</f>
        <v>3</v>
      </c>
      <c r="M25" s="71"/>
      <c r="N25" s="71"/>
      <c r="O25" s="71"/>
      <c r="P25" s="73">
        <f>SUM(P4:P24)</f>
        <v>0</v>
      </c>
      <c r="Q25" s="2"/>
      <c r="R25" s="2"/>
      <c r="S25" s="74" t="s">
        <v>45</v>
      </c>
      <c r="T25" s="75">
        <f>+T15+T16+T4+T5+T6+T7</f>
        <v>5</v>
      </c>
      <c r="U25" s="75">
        <f>SUM(U4:U7,U21)</f>
        <v>4</v>
      </c>
      <c r="V25" s="74"/>
      <c r="W25" s="74"/>
      <c r="X25" s="74"/>
      <c r="Y25" s="76">
        <f>SUM(Y4:Y23)</f>
        <v>0</v>
      </c>
      <c r="AA25" s="77"/>
      <c r="AB25" s="77"/>
      <c r="AC25" s="77"/>
      <c r="AD25" s="77"/>
      <c r="AE25" s="78"/>
    </row>
    <row r="26" spans="1:31" ht="15.75" x14ac:dyDescent="0.2">
      <c r="A26" s="79" t="s">
        <v>46</v>
      </c>
      <c r="B26" s="11">
        <f>+IF(F26=0,0,MID(F26,LEN(F26)-3,1))</f>
        <v>0</v>
      </c>
      <c r="C26" s="12">
        <v>1</v>
      </c>
      <c r="D26" s="12" t="s">
        <v>13</v>
      </c>
      <c r="E26" s="13">
        <f>+IF(F26=0,0,CONCATENATE(MID(F26,FIND("-",F26,1)+1,4),"ORAS"))</f>
        <v>0</v>
      </c>
      <c r="F26" s="14">
        <v>0</v>
      </c>
      <c r="G26" s="308">
        <f>+IF(F26="","",VLOOKUP(F26,$H$139:I$191,2,FALSE))</f>
        <v>0</v>
      </c>
      <c r="H26" s="2"/>
      <c r="I26" s="2"/>
      <c r="J26" s="2"/>
      <c r="K26" s="2"/>
      <c r="L26" s="2"/>
      <c r="M26" s="2"/>
      <c r="N26" s="2"/>
      <c r="O26" s="2"/>
      <c r="P26" s="2"/>
      <c r="Q26" s="2"/>
      <c r="R26" s="2"/>
      <c r="S26" s="2"/>
      <c r="T26" s="2"/>
      <c r="U26" s="2"/>
      <c r="V26" s="2"/>
      <c r="W26" s="2"/>
      <c r="X26" s="2"/>
      <c r="Y26" s="2"/>
      <c r="AA26" s="23"/>
      <c r="AB26" s="23"/>
      <c r="AC26" s="23"/>
      <c r="AD26" s="23"/>
      <c r="AE26" s="23"/>
    </row>
    <row r="27" spans="1:31" ht="20.100000000000001" customHeight="1" x14ac:dyDescent="0.2">
      <c r="A27" s="79" t="s">
        <v>47</v>
      </c>
      <c r="B27" s="51">
        <f>+IF(F27=0,0,MID(F27,LEN(F27)-3,1))</f>
        <v>0</v>
      </c>
      <c r="C27" s="80">
        <v>1</v>
      </c>
      <c r="D27" s="22" t="s">
        <v>13</v>
      </c>
      <c r="E27" s="13">
        <f>+IF(F27=0,0,CONCATENATE(MID(F27,FIND("-",F27,1)+1,4),"ORAS"))</f>
        <v>0</v>
      </c>
      <c r="F27" s="14">
        <v>0</v>
      </c>
      <c r="G27" s="308">
        <f>+IF(F27="","",VLOOKUP(F27,$H$139:I$191,2,FALSE))</f>
        <v>0</v>
      </c>
      <c r="H27" s="2"/>
      <c r="I27" s="2"/>
      <c r="J27" s="2"/>
      <c r="K27" s="2"/>
      <c r="L27" s="2"/>
      <c r="M27" s="2"/>
      <c r="N27" s="2"/>
      <c r="O27" s="2"/>
      <c r="P27" s="2"/>
      <c r="Q27" s="2"/>
      <c r="R27" s="2"/>
      <c r="S27" s="2"/>
      <c r="T27" s="2"/>
      <c r="U27" s="2"/>
      <c r="V27" s="2"/>
      <c r="W27" s="2"/>
      <c r="X27" s="2"/>
      <c r="Y27" s="2"/>
    </row>
    <row r="28" spans="1:31" ht="15.75" customHeight="1" x14ac:dyDescent="0.2">
      <c r="A28" s="79" t="s">
        <v>49</v>
      </c>
      <c r="B28" s="51">
        <f>+IF(F28=0,0,MID(F28,LEN(F28)-3,1))</f>
        <v>0</v>
      </c>
      <c r="C28" s="80">
        <v>1</v>
      </c>
      <c r="D28" s="22" t="s">
        <v>13</v>
      </c>
      <c r="E28" s="13">
        <f>+IF(F28=0,0,CONCATENATE(MID(F28,FIND("-",F28,1)+1,4),"ORAS"))</f>
        <v>0</v>
      </c>
      <c r="F28" s="14">
        <v>0</v>
      </c>
      <c r="G28" s="308">
        <f>+IF(F28="","",VLOOKUP(F28,$H$139:I$191,2,FALSE))</f>
        <v>0</v>
      </c>
      <c r="H28" s="2"/>
      <c r="I28" s="2"/>
      <c r="J28" s="2"/>
      <c r="K28" s="2"/>
      <c r="L28" s="2"/>
      <c r="M28" s="2"/>
      <c r="N28" s="2"/>
      <c r="O28" s="2"/>
      <c r="P28" s="2"/>
      <c r="Q28" s="2"/>
      <c r="R28" s="2"/>
      <c r="S28" s="2"/>
      <c r="T28" s="2"/>
      <c r="U28" s="2"/>
      <c r="V28" s="2"/>
      <c r="W28" s="2"/>
      <c r="X28" s="2"/>
      <c r="Y28" s="2"/>
    </row>
    <row r="29" spans="1:31" ht="15.75" x14ac:dyDescent="0.2">
      <c r="A29" s="81"/>
      <c r="B29" s="51"/>
      <c r="C29" s="80"/>
      <c r="D29" s="22"/>
      <c r="E29" s="13"/>
      <c r="F29" s="14"/>
      <c r="G29" s="30"/>
      <c r="H29" s="2"/>
      <c r="I29" s="2"/>
      <c r="J29" s="2"/>
      <c r="K29" s="2"/>
      <c r="L29" s="2"/>
      <c r="M29" s="2"/>
      <c r="N29" s="2"/>
      <c r="O29" s="2"/>
      <c r="P29" s="2"/>
      <c r="Q29" s="2"/>
      <c r="R29" s="2"/>
      <c r="S29" s="2"/>
      <c r="T29" s="2"/>
      <c r="U29" s="2"/>
      <c r="V29" s="2"/>
      <c r="W29" s="2"/>
      <c r="X29" s="2"/>
      <c r="Y29" s="2"/>
    </row>
    <row r="30" spans="1:31" ht="15.75" x14ac:dyDescent="0.2">
      <c r="A30" s="81"/>
      <c r="B30" s="51"/>
      <c r="C30" s="80"/>
      <c r="D30" s="22"/>
      <c r="E30" s="13"/>
      <c r="F30" s="57"/>
      <c r="G30" s="30"/>
      <c r="H30" s="2"/>
      <c r="I30" s="2"/>
      <c r="J30" s="2"/>
      <c r="K30" s="2"/>
      <c r="L30" s="2"/>
      <c r="M30" s="2"/>
      <c r="N30" s="2"/>
      <c r="O30" s="2"/>
      <c r="P30" s="2"/>
      <c r="Q30" s="2"/>
      <c r="R30" s="2"/>
      <c r="S30" s="2"/>
      <c r="T30" s="2"/>
      <c r="U30" s="2"/>
      <c r="V30" s="2"/>
      <c r="W30" s="2"/>
      <c r="X30" s="2"/>
      <c r="Y30" s="2"/>
    </row>
    <row r="31" spans="1:31" ht="15.75" x14ac:dyDescent="0.2">
      <c r="A31" s="81"/>
      <c r="B31" s="80"/>
      <c r="C31" s="80"/>
      <c r="D31" s="22"/>
      <c r="E31" s="13"/>
      <c r="F31" s="57"/>
      <c r="G31" s="30"/>
      <c r="H31" s="2"/>
      <c r="I31" s="2"/>
      <c r="J31" s="2"/>
      <c r="K31" s="2"/>
      <c r="L31" s="2"/>
      <c r="M31" s="2"/>
      <c r="N31" s="2"/>
      <c r="O31" s="2"/>
      <c r="P31" s="2"/>
      <c r="Q31" s="2"/>
      <c r="R31" s="2"/>
      <c r="S31" s="2"/>
      <c r="T31" s="2"/>
      <c r="U31" s="2"/>
      <c r="V31" s="2"/>
      <c r="W31" s="2"/>
      <c r="X31" s="2"/>
      <c r="Y31" s="2"/>
    </row>
    <row r="32" spans="1:31" ht="15.75" x14ac:dyDescent="0.2">
      <c r="A32" s="372" t="s">
        <v>33</v>
      </c>
      <c r="B32" s="372"/>
      <c r="C32" s="372"/>
      <c r="D32" s="372"/>
      <c r="E32" s="372"/>
      <c r="F32" s="372"/>
      <c r="G32" s="372"/>
      <c r="H32" s="2"/>
      <c r="I32" s="2"/>
      <c r="J32" s="2"/>
      <c r="K32" s="2"/>
      <c r="L32" s="2"/>
      <c r="M32" s="2"/>
      <c r="N32" s="2"/>
      <c r="O32" s="2"/>
      <c r="P32" s="2"/>
      <c r="Q32" s="2"/>
      <c r="R32" s="2"/>
      <c r="S32" s="2"/>
      <c r="T32" s="2"/>
      <c r="U32" s="2"/>
      <c r="V32" s="2"/>
      <c r="W32" s="2"/>
      <c r="X32" s="2"/>
      <c r="Y32" s="2"/>
    </row>
    <row r="33" spans="1:25" ht="15.75" x14ac:dyDescent="0.2">
      <c r="A33" s="64"/>
      <c r="B33" s="70" t="s">
        <v>5</v>
      </c>
      <c r="C33" s="70" t="s">
        <v>6</v>
      </c>
      <c r="D33" s="70" t="s">
        <v>7</v>
      </c>
      <c r="E33" s="70"/>
      <c r="F33" s="70" t="s">
        <v>9</v>
      </c>
      <c r="G33" s="70" t="s">
        <v>10</v>
      </c>
      <c r="H33" s="2"/>
      <c r="I33" s="2"/>
      <c r="J33" s="2"/>
      <c r="K33" s="2"/>
      <c r="L33" s="2"/>
      <c r="M33" s="2"/>
      <c r="N33" s="2"/>
      <c r="O33" s="2"/>
      <c r="P33" s="2"/>
      <c r="Q33" s="2"/>
      <c r="R33" s="2"/>
      <c r="S33" s="2"/>
      <c r="T33" s="2"/>
      <c r="U33" s="2"/>
      <c r="V33" s="2"/>
      <c r="W33" s="2"/>
      <c r="X33" s="2"/>
      <c r="Y33" s="82"/>
    </row>
    <row r="34" spans="1:25" ht="15.75" x14ac:dyDescent="0.25">
      <c r="A34" s="10" t="s">
        <v>50</v>
      </c>
      <c r="B34" s="51">
        <f>+IF(F34=0,0,MID(F34,LEN(F34)-3,1))</f>
        <v>0</v>
      </c>
      <c r="C34" s="314">
        <v>1</v>
      </c>
      <c r="D34" s="22" t="s">
        <v>13</v>
      </c>
      <c r="E34" s="13">
        <f>+IF(F34=0,0,CONCATENATE(MID(F34,FIND("-",F34,1)+1,4),"ORAS"))</f>
        <v>0</v>
      </c>
      <c r="F34" s="14">
        <v>0</v>
      </c>
      <c r="G34" s="308">
        <f>+IF(F34="","",VLOOKUP(F34,$H$139:I$191,2,FALSE))</f>
        <v>0</v>
      </c>
      <c r="H34" s="2"/>
      <c r="I34" s="2"/>
      <c r="J34" s="2"/>
      <c r="K34" s="2"/>
      <c r="L34" s="2"/>
      <c r="M34" s="2"/>
      <c r="N34" s="2"/>
      <c r="O34" s="2"/>
      <c r="P34" s="2"/>
      <c r="Q34" s="2"/>
      <c r="R34" s="2"/>
      <c r="S34" s="2"/>
      <c r="T34" s="2"/>
      <c r="U34" s="2"/>
      <c r="V34" s="2"/>
      <c r="W34" s="2"/>
      <c r="X34" s="2"/>
      <c r="Y34" s="82"/>
    </row>
    <row r="35" spans="1:25" ht="15.75" x14ac:dyDescent="0.25">
      <c r="A35" s="79" t="s">
        <v>51</v>
      </c>
      <c r="B35" s="51">
        <f>+IF(F35=0,0,MID(F35,LEN(F35)-3,1))</f>
        <v>0</v>
      </c>
      <c r="C35" s="314">
        <v>1</v>
      </c>
      <c r="D35" s="22" t="s">
        <v>13</v>
      </c>
      <c r="E35" s="13">
        <f>+IF(F35=0,0,CONCATENATE(MID(F35,FIND("-",F35,1)+1,4),"ORAS"))</f>
        <v>0</v>
      </c>
      <c r="F35" s="14">
        <v>0</v>
      </c>
      <c r="G35" s="308">
        <f>+IF(F35="","",VLOOKUP(F35,$H$139:I$191,2,FALSE))</f>
        <v>0</v>
      </c>
      <c r="H35" s="2"/>
      <c r="I35" s="2"/>
      <c r="J35" s="2"/>
      <c r="K35" s="2"/>
      <c r="L35" s="2"/>
      <c r="M35" s="2"/>
      <c r="N35" s="2"/>
      <c r="O35" s="2"/>
      <c r="P35" s="2"/>
      <c r="Q35" s="2"/>
      <c r="R35" s="2"/>
      <c r="S35" s="2"/>
      <c r="T35" s="2"/>
      <c r="U35" s="2"/>
      <c r="V35" s="2"/>
      <c r="W35" s="2"/>
      <c r="X35" s="2"/>
      <c r="Y35" s="2"/>
    </row>
    <row r="36" spans="1:25" ht="15.75" x14ac:dyDescent="0.25">
      <c r="A36" s="79" t="s">
        <v>48</v>
      </c>
      <c r="B36" s="51">
        <f>+IF(F36=0,0,MID(F36,LEN(F36)-3,1))</f>
        <v>0</v>
      </c>
      <c r="C36" s="314">
        <v>1</v>
      </c>
      <c r="D36" s="22" t="s">
        <v>13</v>
      </c>
      <c r="E36" s="13">
        <f>+IF(F36=0,0,CONCATENATE(MID(F36,FIND("-",F36,1)+1,4),"ORAS"))</f>
        <v>0</v>
      </c>
      <c r="F36" s="14">
        <v>0</v>
      </c>
      <c r="G36" s="308">
        <f>+IF(F36="","",VLOOKUP(F36,$H$139:I$191,2,FALSE))</f>
        <v>0</v>
      </c>
      <c r="H36" s="2"/>
      <c r="I36" s="2"/>
      <c r="J36" s="2"/>
      <c r="K36" s="2"/>
      <c r="L36" s="2"/>
      <c r="M36" s="2"/>
      <c r="N36" s="2"/>
      <c r="O36" s="2"/>
      <c r="P36" s="2"/>
      <c r="Q36" s="2"/>
      <c r="R36" s="2"/>
      <c r="S36" s="2"/>
      <c r="T36" s="2"/>
      <c r="U36" s="2"/>
      <c r="V36" s="2"/>
      <c r="W36" s="2"/>
      <c r="X36" s="2"/>
      <c r="Y36" s="2"/>
    </row>
    <row r="37" spans="1:25" ht="15.75" x14ac:dyDescent="0.25">
      <c r="A37" s="34" t="s">
        <v>52</v>
      </c>
      <c r="B37" s="51">
        <f>+IF(F37=0,0,MID(F37,LEN(F37)-3,1))</f>
        <v>0</v>
      </c>
      <c r="C37" s="314">
        <v>1</v>
      </c>
      <c r="D37" s="22" t="s">
        <v>13</v>
      </c>
      <c r="E37" s="13">
        <f>+IF(F37=0,0,CONCATENATE(MID(F37,FIND("-",F37,1)+1,4),"ORAS"))</f>
        <v>0</v>
      </c>
      <c r="F37" s="14">
        <v>0</v>
      </c>
      <c r="G37" s="308">
        <f>+IF(F37="","",VLOOKUP(F37,$H$139:I$191,2,FALSE))</f>
        <v>0</v>
      </c>
      <c r="H37" s="2"/>
      <c r="I37" s="2"/>
      <c r="J37" s="2"/>
      <c r="K37" s="2"/>
      <c r="L37" s="2"/>
      <c r="M37" s="2"/>
      <c r="N37" s="2"/>
      <c r="O37" s="2"/>
      <c r="P37" s="2"/>
      <c r="Q37" s="2"/>
      <c r="R37" s="2"/>
      <c r="S37" s="2"/>
      <c r="T37" s="2"/>
      <c r="U37" s="2"/>
      <c r="V37" s="2"/>
      <c r="W37" s="2"/>
      <c r="X37" s="2"/>
      <c r="Y37" s="2"/>
    </row>
    <row r="38" spans="1:25" ht="15.75" x14ac:dyDescent="0.25">
      <c r="A38" s="84" t="s">
        <v>53</v>
      </c>
      <c r="B38" s="51">
        <f>+IF(F38=0,0,MID(F38,LEN(F38)-3,1))</f>
        <v>0</v>
      </c>
      <c r="C38" s="314">
        <v>1</v>
      </c>
      <c r="D38" s="22" t="s">
        <v>13</v>
      </c>
      <c r="E38" s="13">
        <f>+IF(F38=0,0,CONCATENATE(MID(F38,FIND("-",F38,1)+1,4),"ORAS"))</f>
        <v>0</v>
      </c>
      <c r="F38" s="14">
        <v>0</v>
      </c>
      <c r="G38" s="308">
        <f>+IF(F38="","",VLOOKUP(F38,$H$139:I$191,2,FALSE))</f>
        <v>0</v>
      </c>
      <c r="H38" s="2"/>
      <c r="I38" s="2"/>
      <c r="J38" s="2"/>
      <c r="K38" s="2"/>
      <c r="L38" s="2"/>
      <c r="M38" s="2"/>
      <c r="N38" s="2"/>
      <c r="O38" s="2"/>
      <c r="P38" s="2"/>
      <c r="Q38" s="2"/>
      <c r="R38" s="2"/>
      <c r="S38" s="2"/>
      <c r="T38" s="2"/>
      <c r="U38" s="2"/>
      <c r="V38" s="2"/>
      <c r="W38" s="2"/>
      <c r="X38" s="2"/>
      <c r="Y38" s="2"/>
    </row>
    <row r="39" spans="1:25" ht="15.75" x14ac:dyDescent="0.2">
      <c r="A39" s="85"/>
      <c r="B39" s="16"/>
      <c r="C39" s="86"/>
      <c r="D39" s="43"/>
      <c r="E39" s="13"/>
      <c r="F39" s="57"/>
      <c r="G39" s="30"/>
      <c r="H39" s="2"/>
      <c r="I39" s="2"/>
      <c r="J39" s="2"/>
      <c r="K39" s="2"/>
      <c r="L39" s="2"/>
      <c r="M39" s="2"/>
      <c r="N39" s="2"/>
      <c r="O39" s="2"/>
      <c r="P39" s="2"/>
      <c r="Q39" s="2"/>
      <c r="R39" s="2"/>
      <c r="S39" s="2"/>
      <c r="T39" s="2"/>
      <c r="U39" s="2"/>
      <c r="V39" s="2"/>
      <c r="W39" s="2"/>
      <c r="X39" s="2"/>
      <c r="Y39" s="2"/>
    </row>
    <row r="40" spans="1:25" ht="15.75" x14ac:dyDescent="0.2">
      <c r="A40" s="60" t="s">
        <v>42</v>
      </c>
      <c r="B40" s="61">
        <f>+B26+B27+B28+B34+B35+B36+B37+B38</f>
        <v>0</v>
      </c>
      <c r="C40" s="62">
        <f>SUM(C26:C32)+C34+C35+C36+C37+C38+C39</f>
        <v>8</v>
      </c>
      <c r="D40" s="62"/>
      <c r="E40" s="13">
        <f>+IF(F40=0,0,CONCATENATE(MID(F40,FIND("-",F40,1)+1,3),"ORAS"))</f>
        <v>0</v>
      </c>
      <c r="F40" s="62"/>
      <c r="G40" s="44">
        <f>SUM(G26:G31,G34:G39)</f>
        <v>0</v>
      </c>
      <c r="H40" s="2"/>
      <c r="I40" s="2"/>
      <c r="J40" s="2"/>
      <c r="K40" s="2"/>
      <c r="L40" s="2"/>
      <c r="M40" s="2"/>
      <c r="N40" s="2"/>
      <c r="O40" s="2"/>
      <c r="P40" s="2"/>
      <c r="Q40" s="2"/>
      <c r="R40" s="2"/>
      <c r="S40" s="2"/>
      <c r="T40" s="2"/>
      <c r="U40" s="2"/>
      <c r="V40" s="2"/>
      <c r="W40" s="2"/>
      <c r="X40" s="2"/>
      <c r="Y40" s="2"/>
    </row>
    <row r="41" spans="1:25" ht="15.75" x14ac:dyDescent="0.2">
      <c r="A41" s="373" t="s">
        <v>54</v>
      </c>
      <c r="B41" s="373"/>
      <c r="C41" s="373"/>
      <c r="D41" s="373"/>
      <c r="E41" s="373"/>
      <c r="F41" s="373"/>
      <c r="G41" s="373"/>
      <c r="H41" s="2"/>
      <c r="I41" s="2"/>
      <c r="J41" s="2"/>
      <c r="K41" s="2"/>
      <c r="L41" s="2"/>
      <c r="M41" s="2"/>
      <c r="N41" s="2"/>
      <c r="O41" s="2"/>
      <c r="P41" s="2"/>
      <c r="Q41" s="2"/>
      <c r="R41" s="2"/>
      <c r="S41" s="2"/>
      <c r="T41" s="2"/>
      <c r="U41" s="2"/>
      <c r="V41" s="2"/>
      <c r="W41" s="2"/>
      <c r="X41" s="2"/>
      <c r="Y41" s="2"/>
    </row>
    <row r="42" spans="1:25" ht="15.75" x14ac:dyDescent="0.2">
      <c r="A42" s="373" t="s">
        <v>1</v>
      </c>
      <c r="B42" s="373"/>
      <c r="C42" s="373"/>
      <c r="D42" s="373"/>
      <c r="E42" s="373"/>
      <c r="F42" s="373"/>
      <c r="G42" s="373"/>
      <c r="H42" s="2"/>
      <c r="I42" s="2"/>
      <c r="J42" s="2"/>
      <c r="K42" s="2"/>
      <c r="L42" s="2"/>
      <c r="M42" s="2"/>
      <c r="N42" s="2"/>
      <c r="O42" s="2"/>
      <c r="P42" s="2"/>
      <c r="Q42" s="2"/>
      <c r="R42" s="2"/>
      <c r="S42" s="2"/>
      <c r="T42" s="2"/>
      <c r="U42" s="2"/>
      <c r="V42" s="2"/>
      <c r="W42" s="2"/>
      <c r="X42" s="2"/>
      <c r="Y42" s="2"/>
    </row>
    <row r="43" spans="1:25" ht="15.75" x14ac:dyDescent="0.2">
      <c r="A43" s="87" t="s">
        <v>4</v>
      </c>
      <c r="B43" s="88" t="s">
        <v>5</v>
      </c>
      <c r="C43" s="88" t="s">
        <v>6</v>
      </c>
      <c r="D43" s="88" t="s">
        <v>7</v>
      </c>
      <c r="E43" s="88" t="s">
        <v>8</v>
      </c>
      <c r="F43" s="88" t="s">
        <v>9</v>
      </c>
      <c r="G43" s="88" t="s">
        <v>10</v>
      </c>
      <c r="H43" s="2"/>
      <c r="I43" s="2"/>
      <c r="J43" s="2"/>
      <c r="K43" s="2"/>
      <c r="L43" s="2"/>
      <c r="M43" s="2"/>
      <c r="N43" s="2"/>
      <c r="O43" s="2"/>
      <c r="P43" s="2"/>
      <c r="Q43" s="2"/>
      <c r="R43" s="2"/>
      <c r="S43" s="2"/>
      <c r="T43" s="2"/>
      <c r="U43" s="2"/>
      <c r="V43" s="2"/>
      <c r="W43" s="2"/>
      <c r="X43" s="2"/>
      <c r="Y43" s="2"/>
    </row>
    <row r="44" spans="1:25" ht="15.75" x14ac:dyDescent="0.2">
      <c r="A44" s="89"/>
      <c r="B44" s="90"/>
      <c r="C44" s="90"/>
      <c r="D44" s="91"/>
      <c r="E44" s="91"/>
      <c r="F44" s="91"/>
      <c r="G44" s="92"/>
      <c r="H44" s="2"/>
      <c r="I44" s="2"/>
      <c r="J44" s="2"/>
      <c r="K44" s="2"/>
      <c r="L44" s="2"/>
      <c r="M44" s="2"/>
      <c r="N44" s="2"/>
      <c r="O44" s="2"/>
      <c r="P44" s="2"/>
      <c r="Q44" s="2"/>
      <c r="R44" s="2"/>
      <c r="S44" s="2"/>
      <c r="T44" s="2"/>
      <c r="U44" s="2"/>
      <c r="V44" s="2"/>
      <c r="W44" s="2"/>
      <c r="X44" s="2"/>
      <c r="Y44" s="2"/>
    </row>
    <row r="45" spans="1:25" ht="1.5" customHeight="1" x14ac:dyDescent="0.2">
      <c r="A45" s="89"/>
      <c r="B45" s="90"/>
      <c r="C45" s="90"/>
      <c r="D45" s="90"/>
      <c r="E45" s="90"/>
      <c r="F45" s="90"/>
      <c r="G45" s="90"/>
      <c r="H45" s="2"/>
      <c r="I45" s="2"/>
      <c r="J45" s="2"/>
      <c r="K45" s="2"/>
      <c r="L45" s="2"/>
      <c r="M45" s="2"/>
      <c r="N45" s="2"/>
      <c r="O45" s="2"/>
      <c r="P45" s="2"/>
      <c r="Q45" s="2"/>
      <c r="R45" s="2"/>
      <c r="S45" s="2"/>
      <c r="T45" s="2"/>
      <c r="U45" s="2"/>
      <c r="V45" s="2"/>
      <c r="W45" s="2"/>
      <c r="X45" s="2"/>
      <c r="Y45" s="2"/>
    </row>
    <row r="46" spans="1:25" ht="15.75" x14ac:dyDescent="0.25">
      <c r="A46" s="53"/>
      <c r="B46" s="16"/>
      <c r="C46" s="314"/>
      <c r="D46" s="22"/>
      <c r="E46" s="13"/>
      <c r="F46" s="57"/>
      <c r="G46" s="57"/>
      <c r="H46" s="2"/>
      <c r="I46" s="2"/>
      <c r="J46" s="374"/>
      <c r="K46" s="374"/>
      <c r="L46" s="374"/>
      <c r="M46" s="374"/>
      <c r="N46" s="374"/>
      <c r="O46" s="374"/>
      <c r="P46" s="374"/>
      <c r="Q46" s="2"/>
      <c r="R46" s="2"/>
      <c r="S46" s="2"/>
      <c r="T46" s="2"/>
      <c r="U46" s="2"/>
      <c r="V46" s="2"/>
      <c r="W46" s="2"/>
      <c r="X46" s="2"/>
      <c r="Y46" s="2"/>
    </row>
    <row r="47" spans="1:25" ht="15.75" x14ac:dyDescent="0.2">
      <c r="A47" s="93"/>
      <c r="B47" s="16"/>
      <c r="C47" s="57"/>
      <c r="D47" s="57"/>
      <c r="E47" s="13"/>
      <c r="F47" s="57"/>
      <c r="G47" s="57"/>
      <c r="H47" s="2"/>
      <c r="I47" s="2"/>
      <c r="J47" s="374"/>
      <c r="K47" s="374"/>
      <c r="L47" s="374"/>
      <c r="M47" s="374"/>
      <c r="N47" s="374"/>
      <c r="O47" s="374"/>
      <c r="P47" s="374"/>
      <c r="Q47" s="2"/>
      <c r="R47" s="2"/>
      <c r="S47" s="2"/>
      <c r="T47" s="2"/>
      <c r="U47" s="2"/>
      <c r="V47" s="2"/>
      <c r="W47" s="2"/>
      <c r="X47" s="2"/>
      <c r="Y47" s="2"/>
    </row>
    <row r="48" spans="1:25" ht="15.75" x14ac:dyDescent="0.2">
      <c r="A48" s="93"/>
      <c r="B48" s="16"/>
      <c r="C48" s="57"/>
      <c r="D48" s="57"/>
      <c r="E48" s="13"/>
      <c r="F48" s="57"/>
      <c r="G48" s="57"/>
      <c r="H48" s="2"/>
      <c r="I48" s="2"/>
      <c r="J48" s="374"/>
      <c r="K48" s="374"/>
      <c r="L48" s="374"/>
      <c r="M48" s="374"/>
      <c r="N48" s="374"/>
      <c r="O48" s="374"/>
      <c r="P48" s="374"/>
      <c r="Q48" s="2"/>
      <c r="R48" s="2"/>
      <c r="S48" s="2"/>
      <c r="T48" s="2"/>
      <c r="U48" s="2"/>
      <c r="V48" s="2"/>
      <c r="W48" s="2"/>
      <c r="X48" s="2"/>
      <c r="Y48" s="2"/>
    </row>
    <row r="49" spans="1:25" ht="15.75" x14ac:dyDescent="0.2">
      <c r="A49" s="93"/>
      <c r="B49" s="16"/>
      <c r="C49" s="57"/>
      <c r="D49" s="57"/>
      <c r="E49" s="13"/>
      <c r="F49" s="57"/>
      <c r="G49" s="57"/>
      <c r="H49" s="2"/>
      <c r="I49" s="2"/>
      <c r="J49" s="374"/>
      <c r="K49" s="374"/>
      <c r="L49" s="374"/>
      <c r="M49" s="374"/>
      <c r="N49" s="374"/>
      <c r="O49" s="374"/>
      <c r="P49" s="374"/>
      <c r="Q49" s="2"/>
      <c r="R49" s="2"/>
      <c r="S49" s="2"/>
      <c r="T49" s="2"/>
      <c r="U49" s="2"/>
      <c r="V49" s="2"/>
      <c r="W49" s="2"/>
      <c r="X49" s="2"/>
      <c r="Y49" s="2"/>
    </row>
    <row r="50" spans="1:25" ht="15.75" x14ac:dyDescent="0.2">
      <c r="A50" s="93"/>
      <c r="B50" s="57"/>
      <c r="C50" s="57"/>
      <c r="D50" s="57"/>
      <c r="E50" s="13"/>
      <c r="F50" s="57"/>
      <c r="G50" s="57"/>
      <c r="H50" s="2"/>
      <c r="I50" s="2"/>
      <c r="J50" s="374"/>
      <c r="K50" s="374"/>
      <c r="L50" s="374"/>
      <c r="M50" s="374"/>
      <c r="N50" s="374"/>
      <c r="O50" s="374"/>
      <c r="P50" s="374"/>
      <c r="Q50" s="2"/>
      <c r="R50" s="2"/>
      <c r="S50" s="2"/>
      <c r="T50" s="2"/>
      <c r="U50" s="2"/>
      <c r="V50" s="2"/>
      <c r="W50" s="2"/>
      <c r="X50" s="2"/>
      <c r="Y50" s="2"/>
    </row>
    <row r="51" spans="1:25" ht="15.75" x14ac:dyDescent="0.2">
      <c r="A51" s="93"/>
      <c r="B51" s="57"/>
      <c r="C51" s="57"/>
      <c r="D51" s="57"/>
      <c r="E51" s="13"/>
      <c r="F51" s="57"/>
      <c r="G51" s="57"/>
      <c r="H51" s="2"/>
      <c r="I51" s="2"/>
      <c r="J51" s="374"/>
      <c r="K51" s="374"/>
      <c r="L51" s="374"/>
      <c r="M51" s="374"/>
      <c r="N51" s="374"/>
      <c r="O51" s="374"/>
      <c r="P51" s="374"/>
      <c r="Q51" s="2"/>
      <c r="R51" s="2"/>
      <c r="S51" s="2"/>
      <c r="T51" s="2"/>
      <c r="U51" s="2"/>
      <c r="V51" s="2"/>
      <c r="W51" s="2"/>
      <c r="X51" s="2"/>
      <c r="Y51" s="2"/>
    </row>
    <row r="52" spans="1:25" ht="15.75" x14ac:dyDescent="0.2">
      <c r="A52" s="376" t="s">
        <v>33</v>
      </c>
      <c r="B52" s="376"/>
      <c r="C52" s="376"/>
      <c r="D52" s="376"/>
      <c r="E52" s="376"/>
      <c r="F52" s="376"/>
      <c r="G52" s="376"/>
      <c r="H52" s="2"/>
      <c r="I52" s="2"/>
      <c r="J52" s="374"/>
      <c r="K52" s="374"/>
      <c r="L52" s="374"/>
      <c r="M52" s="374"/>
      <c r="N52" s="374"/>
      <c r="O52" s="374"/>
      <c r="P52" s="374"/>
      <c r="Q52" s="2"/>
      <c r="R52" s="2"/>
      <c r="S52" s="2"/>
      <c r="T52" s="2"/>
      <c r="U52" s="2"/>
      <c r="V52" s="2"/>
      <c r="W52" s="2"/>
      <c r="X52" s="2"/>
      <c r="Y52" s="2"/>
    </row>
    <row r="53" spans="1:25" ht="15.75" x14ac:dyDescent="0.2">
      <c r="A53" s="87" t="s">
        <v>4</v>
      </c>
      <c r="B53" s="88" t="s">
        <v>5</v>
      </c>
      <c r="C53" s="88" t="s">
        <v>6</v>
      </c>
      <c r="D53" s="88" t="s">
        <v>7</v>
      </c>
      <c r="E53" s="88" t="s">
        <v>8</v>
      </c>
      <c r="F53" s="88" t="s">
        <v>9</v>
      </c>
      <c r="G53" s="88" t="s">
        <v>10</v>
      </c>
      <c r="H53" s="2"/>
      <c r="I53" s="2"/>
      <c r="J53" s="374"/>
      <c r="K53" s="374"/>
      <c r="L53" s="374"/>
      <c r="M53" s="374"/>
      <c r="N53" s="374"/>
      <c r="O53" s="374"/>
      <c r="P53" s="374"/>
      <c r="Q53" s="2"/>
      <c r="R53" s="2"/>
      <c r="S53" s="2"/>
      <c r="T53" s="2"/>
      <c r="U53" s="2"/>
      <c r="V53" s="2"/>
      <c r="W53" s="2"/>
      <c r="X53" s="2"/>
      <c r="Y53" s="2"/>
    </row>
    <row r="54" spans="1:25" ht="15.75" x14ac:dyDescent="0.25">
      <c r="A54" s="53" t="s">
        <v>55</v>
      </c>
      <c r="B54" s="16">
        <f t="shared" ref="B54:B63" si="2">+IF(F54=0,0,MID(F54,LEN(F54)-3,1))</f>
        <v>0</v>
      </c>
      <c r="C54" s="314">
        <v>1</v>
      </c>
      <c r="D54" s="22" t="s">
        <v>13</v>
      </c>
      <c r="E54" s="13">
        <f t="shared" ref="E54:E63" si="3">+IF(F54=0,0,CONCATENATE(MID(F54,FIND("-",F54,1)+1,4),"ORAS"))</f>
        <v>0</v>
      </c>
      <c r="F54" s="14">
        <v>0</v>
      </c>
      <c r="G54" s="308">
        <f>+IF(F54="","",VLOOKUP(F54,$H$139:I$191,2,FALSE))</f>
        <v>0</v>
      </c>
      <c r="H54" s="2"/>
      <c r="I54" s="2"/>
      <c r="J54" s="374"/>
      <c r="K54" s="374"/>
      <c r="L54" s="374"/>
      <c r="M54" s="374"/>
      <c r="N54" s="374"/>
      <c r="O54" s="374"/>
      <c r="P54" s="374"/>
      <c r="Q54" s="2"/>
      <c r="R54" s="2"/>
      <c r="S54" s="2"/>
      <c r="T54" s="2"/>
      <c r="U54" s="2"/>
      <c r="V54" s="2"/>
      <c r="W54" s="2"/>
      <c r="X54" s="2"/>
      <c r="Y54" s="2"/>
    </row>
    <row r="55" spans="1:25" ht="15.75" x14ac:dyDescent="0.25">
      <c r="A55" s="53" t="s">
        <v>56</v>
      </c>
      <c r="B55" s="16">
        <f t="shared" si="2"/>
        <v>0</v>
      </c>
      <c r="C55" s="314">
        <v>1</v>
      </c>
      <c r="D55" s="22" t="s">
        <v>13</v>
      </c>
      <c r="E55" s="13">
        <f t="shared" si="3"/>
        <v>0</v>
      </c>
      <c r="F55" s="14">
        <v>0</v>
      </c>
      <c r="G55" s="308">
        <f>+IF(F55="","",VLOOKUP(F55,$H$139:I$191,2,FALSE))</f>
        <v>0</v>
      </c>
      <c r="H55" s="2"/>
      <c r="I55" s="2"/>
      <c r="J55" s="374"/>
      <c r="K55" s="374"/>
      <c r="L55" s="374"/>
      <c r="M55" s="374"/>
      <c r="N55" s="374"/>
      <c r="O55" s="374"/>
      <c r="P55" s="374"/>
      <c r="Q55" s="2"/>
      <c r="R55" s="2"/>
      <c r="S55" s="2"/>
      <c r="T55" s="2"/>
      <c r="U55" s="2"/>
      <c r="V55" s="2"/>
      <c r="W55" s="2"/>
      <c r="X55" s="2"/>
      <c r="Y55" s="2"/>
    </row>
    <row r="56" spans="1:25" ht="15.75" x14ac:dyDescent="0.25">
      <c r="A56" s="53" t="s">
        <v>57</v>
      </c>
      <c r="B56" s="16">
        <f t="shared" si="2"/>
        <v>0</v>
      </c>
      <c r="C56" s="314">
        <v>1</v>
      </c>
      <c r="D56" s="22" t="s">
        <v>13</v>
      </c>
      <c r="E56" s="13">
        <f t="shared" si="3"/>
        <v>0</v>
      </c>
      <c r="F56" s="14">
        <v>0</v>
      </c>
      <c r="G56" s="308">
        <f>+IF(F56="","",VLOOKUP(F56,$H$139:I$191,2,FALSE))</f>
        <v>0</v>
      </c>
      <c r="H56" s="2"/>
      <c r="I56" s="2"/>
      <c r="J56" s="374"/>
      <c r="K56" s="374"/>
      <c r="L56" s="374"/>
      <c r="M56" s="374"/>
      <c r="N56" s="374"/>
      <c r="O56" s="374"/>
      <c r="P56" s="374"/>
      <c r="Q56" s="2"/>
      <c r="R56" s="2"/>
      <c r="S56" s="2"/>
      <c r="T56" s="2"/>
      <c r="U56" s="2"/>
      <c r="V56" s="2"/>
      <c r="W56" s="2"/>
      <c r="X56" s="2"/>
      <c r="Y56" s="2"/>
    </row>
    <row r="57" spans="1:25" ht="15.75" x14ac:dyDescent="0.25">
      <c r="A57" s="53" t="s">
        <v>253</v>
      </c>
      <c r="B57" s="16">
        <f t="shared" si="2"/>
        <v>0</v>
      </c>
      <c r="C57" s="314">
        <v>1</v>
      </c>
      <c r="D57" s="22" t="s">
        <v>13</v>
      </c>
      <c r="E57" s="13">
        <f t="shared" si="3"/>
        <v>0</v>
      </c>
      <c r="F57" s="14">
        <v>0</v>
      </c>
      <c r="G57" s="308">
        <f>+IF(F57="","",VLOOKUP(F57,$H$139:I$191,2,FALSE))</f>
        <v>0</v>
      </c>
      <c r="H57" s="2"/>
      <c r="I57" s="2"/>
      <c r="J57" s="374"/>
      <c r="K57" s="374"/>
      <c r="L57" s="374"/>
      <c r="M57" s="374"/>
      <c r="N57" s="374"/>
      <c r="O57" s="374"/>
      <c r="P57" s="374"/>
      <c r="Q57" s="2"/>
      <c r="R57" s="2"/>
      <c r="S57" s="2"/>
      <c r="T57" s="2"/>
      <c r="U57" s="2"/>
      <c r="V57" s="2"/>
      <c r="W57" s="2"/>
      <c r="X57" s="2"/>
      <c r="Y57" s="2"/>
    </row>
    <row r="58" spans="1:25" ht="15.75" x14ac:dyDescent="0.25">
      <c r="A58" s="96" t="s">
        <v>254</v>
      </c>
      <c r="B58" s="16">
        <f t="shared" si="2"/>
        <v>0</v>
      </c>
      <c r="C58" s="314">
        <v>1</v>
      </c>
      <c r="D58" s="22" t="s">
        <v>13</v>
      </c>
      <c r="E58" s="13">
        <f t="shared" si="3"/>
        <v>0</v>
      </c>
      <c r="F58" s="14">
        <v>0</v>
      </c>
      <c r="G58" s="308">
        <f>+IF(F58="","",VLOOKUP(F58,$H$139:I$191,2,FALSE))</f>
        <v>0</v>
      </c>
      <c r="H58" s="2"/>
      <c r="I58" s="2"/>
      <c r="J58" s="374"/>
      <c r="K58" s="374"/>
      <c r="L58" s="374"/>
      <c r="M58" s="374"/>
      <c r="N58" s="374"/>
      <c r="O58" s="374"/>
      <c r="P58" s="374"/>
      <c r="Q58" s="2"/>
      <c r="R58" s="2"/>
      <c r="S58" s="2"/>
      <c r="T58" s="2"/>
      <c r="U58" s="2"/>
      <c r="V58" s="2"/>
      <c r="W58" s="2"/>
      <c r="X58" s="2"/>
      <c r="Y58" s="2"/>
    </row>
    <row r="59" spans="1:25" ht="15.75" x14ac:dyDescent="0.25">
      <c r="A59" s="96" t="s">
        <v>255</v>
      </c>
      <c r="B59" s="16">
        <f t="shared" si="2"/>
        <v>0</v>
      </c>
      <c r="C59" s="314">
        <v>1</v>
      </c>
      <c r="D59" s="22" t="s">
        <v>13</v>
      </c>
      <c r="E59" s="13">
        <f t="shared" si="3"/>
        <v>0</v>
      </c>
      <c r="F59" s="14">
        <v>0</v>
      </c>
      <c r="G59" s="308">
        <f>+IF(F59="","",VLOOKUP(F59,$H$139:I$191,2,FALSE))</f>
        <v>0</v>
      </c>
      <c r="H59" s="2"/>
      <c r="I59" s="2"/>
      <c r="J59" s="374"/>
      <c r="K59" s="374"/>
      <c r="L59" s="374"/>
      <c r="M59" s="374"/>
      <c r="N59" s="374"/>
      <c r="O59" s="374"/>
      <c r="P59" s="374"/>
      <c r="Q59" s="2"/>
      <c r="R59" s="2"/>
      <c r="S59" s="2"/>
      <c r="T59" s="2"/>
      <c r="U59" s="2"/>
      <c r="V59" s="2"/>
      <c r="W59" s="2"/>
      <c r="X59" s="2"/>
      <c r="Y59" s="2"/>
    </row>
    <row r="60" spans="1:25" ht="15.75" x14ac:dyDescent="0.25">
      <c r="A60" s="96" t="s">
        <v>256</v>
      </c>
      <c r="B60" s="16">
        <f t="shared" si="2"/>
        <v>0</v>
      </c>
      <c r="C60" s="314">
        <v>1</v>
      </c>
      <c r="D60" s="22" t="s">
        <v>13</v>
      </c>
      <c r="E60" s="13">
        <f t="shared" si="3"/>
        <v>0</v>
      </c>
      <c r="F60" s="14">
        <v>0</v>
      </c>
      <c r="G60" s="308">
        <f>+IF(F60="","",VLOOKUP(F60,$H$139:I$191,2,FALSE))</f>
        <v>0</v>
      </c>
      <c r="H60" s="2"/>
      <c r="I60" s="2"/>
      <c r="J60" s="374"/>
      <c r="K60" s="374"/>
      <c r="L60" s="374"/>
      <c r="M60" s="374"/>
      <c r="N60" s="374"/>
      <c r="O60" s="374"/>
      <c r="P60" s="374"/>
      <c r="Q60" s="2"/>
      <c r="R60" s="2"/>
      <c r="S60" s="2"/>
      <c r="T60" s="2"/>
      <c r="U60" s="2"/>
      <c r="V60" s="2"/>
      <c r="W60" s="2"/>
      <c r="X60" s="2"/>
      <c r="Y60" s="2"/>
    </row>
    <row r="61" spans="1:25" ht="15.75" x14ac:dyDescent="0.25">
      <c r="A61" s="96" t="s">
        <v>257</v>
      </c>
      <c r="B61" s="16">
        <f t="shared" si="2"/>
        <v>0</v>
      </c>
      <c r="C61" s="314">
        <v>1</v>
      </c>
      <c r="D61" s="22" t="s">
        <v>13</v>
      </c>
      <c r="E61" s="13">
        <f t="shared" si="3"/>
        <v>0</v>
      </c>
      <c r="F61" s="14">
        <v>0</v>
      </c>
      <c r="G61" s="308">
        <f>+IF(F61="","",VLOOKUP(F61,$H$139:I$191,2,FALSE))</f>
        <v>0</v>
      </c>
      <c r="H61" s="2"/>
      <c r="I61" s="2"/>
      <c r="J61" s="374"/>
      <c r="K61" s="374"/>
      <c r="L61" s="374"/>
      <c r="M61" s="374"/>
      <c r="N61" s="374"/>
      <c r="O61" s="374"/>
      <c r="P61" s="374"/>
      <c r="Q61" s="2"/>
      <c r="R61" s="2"/>
      <c r="S61" s="2"/>
      <c r="T61" s="2"/>
      <c r="U61" s="2"/>
      <c r="V61" s="2"/>
      <c r="W61" s="2"/>
      <c r="X61" s="2"/>
      <c r="Y61" s="2"/>
    </row>
    <row r="62" spans="1:25" ht="15.75" x14ac:dyDescent="0.25">
      <c r="A62" s="95" t="s">
        <v>58</v>
      </c>
      <c r="B62" s="16">
        <f t="shared" si="2"/>
        <v>0</v>
      </c>
      <c r="C62" s="314">
        <v>1</v>
      </c>
      <c r="D62" s="22" t="s">
        <v>13</v>
      </c>
      <c r="E62" s="13">
        <f t="shared" si="3"/>
        <v>0</v>
      </c>
      <c r="F62" s="14">
        <v>0</v>
      </c>
      <c r="G62" s="308">
        <f>+IF(F62="","",VLOOKUP(F62,$H$139:I$191,2,FALSE))</f>
        <v>0</v>
      </c>
      <c r="H62" s="2"/>
      <c r="I62" s="2"/>
      <c r="J62" s="374"/>
      <c r="K62" s="374"/>
      <c r="L62" s="374"/>
      <c r="M62" s="374"/>
      <c r="N62" s="374"/>
      <c r="O62" s="374"/>
      <c r="P62" s="374"/>
      <c r="Q62" s="2"/>
      <c r="R62" s="2"/>
      <c r="S62" s="2"/>
      <c r="T62" s="2"/>
      <c r="U62" s="2"/>
      <c r="V62" s="2"/>
      <c r="W62" s="2"/>
      <c r="X62" s="2"/>
      <c r="Y62" s="2"/>
    </row>
    <row r="63" spans="1:25" ht="15.75" x14ac:dyDescent="0.25">
      <c r="A63" s="95" t="s">
        <v>59</v>
      </c>
      <c r="B63" s="16">
        <f t="shared" si="2"/>
        <v>0</v>
      </c>
      <c r="C63" s="314">
        <v>1</v>
      </c>
      <c r="D63" s="22" t="s">
        <v>13</v>
      </c>
      <c r="E63" s="13">
        <f t="shared" si="3"/>
        <v>0</v>
      </c>
      <c r="F63" s="14">
        <v>0</v>
      </c>
      <c r="G63" s="308">
        <f>+IF(F63="","",VLOOKUP(F63,$H$139:I$191,2,FALSE))</f>
        <v>0</v>
      </c>
      <c r="H63" s="2"/>
      <c r="I63" s="2"/>
      <c r="J63" s="374"/>
      <c r="K63" s="374"/>
      <c r="L63" s="374"/>
      <c r="M63" s="374"/>
      <c r="N63" s="374"/>
      <c r="O63" s="374"/>
      <c r="P63" s="374"/>
      <c r="Q63" s="2"/>
      <c r="R63" s="2"/>
      <c r="S63" s="2"/>
      <c r="T63" s="2"/>
      <c r="U63" s="2"/>
      <c r="V63" s="2"/>
      <c r="W63" s="2"/>
      <c r="X63" s="2"/>
      <c r="Y63" s="2"/>
    </row>
    <row r="64" spans="1:25" ht="15.75" x14ac:dyDescent="0.25">
      <c r="A64" s="93"/>
      <c r="B64" s="16"/>
      <c r="C64" s="314"/>
      <c r="D64" s="97"/>
      <c r="E64" s="14"/>
      <c r="F64" s="14"/>
      <c r="G64" s="30"/>
      <c r="H64" s="2"/>
      <c r="I64" s="2"/>
      <c r="J64" s="374"/>
      <c r="K64" s="374"/>
      <c r="L64" s="374"/>
      <c r="M64" s="374"/>
      <c r="N64" s="374"/>
      <c r="O64" s="374"/>
      <c r="P64" s="374"/>
      <c r="Q64" s="2"/>
      <c r="R64" s="2"/>
      <c r="S64" s="2"/>
      <c r="T64" s="2"/>
      <c r="U64" s="2"/>
      <c r="V64" s="2"/>
      <c r="W64" s="2"/>
      <c r="X64" s="2"/>
      <c r="Y64" s="2"/>
    </row>
    <row r="65" spans="1:31" ht="15.75" x14ac:dyDescent="0.2">
      <c r="A65" s="93" t="s">
        <v>42</v>
      </c>
      <c r="B65" s="62">
        <f>+B54+B55+B56+B57+B58+B64+B59+B60+B61+B62+B63+B46+B47+B48+B49+B50+B51</f>
        <v>0</v>
      </c>
      <c r="C65" s="62">
        <f>C59+C60+C61+C62+C63+C46+C47+C48+C49+C50+C54+C55+C56+C57+C58+C64</f>
        <v>10</v>
      </c>
      <c r="D65" s="62"/>
      <c r="E65" s="98"/>
      <c r="F65" s="62"/>
      <c r="G65" s="44">
        <f>SUM(G46:G51,G54:G64)</f>
        <v>0</v>
      </c>
      <c r="H65" s="2"/>
      <c r="I65" s="2"/>
      <c r="J65" s="374"/>
      <c r="K65" s="374"/>
      <c r="L65" s="374"/>
      <c r="M65" s="374"/>
      <c r="N65" s="374"/>
      <c r="O65" s="374"/>
      <c r="P65" s="374"/>
      <c r="Q65" s="2"/>
      <c r="R65" s="2"/>
      <c r="S65" s="2"/>
      <c r="T65" s="2"/>
      <c r="U65" s="2"/>
      <c r="V65" s="2"/>
      <c r="W65" s="2"/>
      <c r="X65" s="2"/>
      <c r="Y65" s="2"/>
    </row>
    <row r="66" spans="1:31" ht="15" x14ac:dyDescent="0.2">
      <c r="A66" s="2"/>
      <c r="B66" s="2"/>
      <c r="C66" s="2"/>
      <c r="D66" s="2"/>
      <c r="E66" s="2"/>
      <c r="F66" s="2"/>
      <c r="G66" s="2"/>
      <c r="H66" s="2"/>
      <c r="I66" s="2"/>
      <c r="J66" s="2"/>
      <c r="K66" s="2"/>
      <c r="L66" s="2"/>
      <c r="M66" s="2"/>
      <c r="N66" s="2"/>
      <c r="O66" s="2"/>
      <c r="P66" s="2"/>
      <c r="Q66" s="2"/>
      <c r="R66" s="2"/>
      <c r="S66" s="2"/>
      <c r="T66" s="2"/>
      <c r="U66" s="2"/>
      <c r="V66" s="2"/>
      <c r="W66" s="2"/>
      <c r="X66" s="2"/>
      <c r="Y66" s="2"/>
    </row>
    <row r="67" spans="1:31" ht="15" x14ac:dyDescent="0.2">
      <c r="A67" s="74" t="s">
        <v>45</v>
      </c>
      <c r="B67" s="315">
        <f>B65+B40+B22</f>
        <v>0</v>
      </c>
      <c r="C67" s="315">
        <f>C65+C40+C22</f>
        <v>26</v>
      </c>
      <c r="D67" s="74">
        <f>D65+D40+D22</f>
        <v>0</v>
      </c>
      <c r="E67" s="2"/>
      <c r="F67" s="2"/>
      <c r="G67" s="44">
        <f>SUM(G22,G40,G65)</f>
        <v>0</v>
      </c>
      <c r="H67" s="2"/>
      <c r="I67" s="2"/>
      <c r="J67" s="2"/>
      <c r="K67" s="2"/>
      <c r="L67" s="2"/>
      <c r="M67" s="2"/>
      <c r="N67" s="2"/>
      <c r="O67" s="2"/>
      <c r="P67" s="2"/>
      <c r="Q67" s="2"/>
      <c r="R67" s="2"/>
      <c r="S67" s="2"/>
      <c r="T67" s="2"/>
      <c r="U67" s="2"/>
      <c r="V67" s="2"/>
      <c r="W67" s="2"/>
      <c r="X67" s="2"/>
      <c r="Y67" s="2"/>
    </row>
    <row r="68" spans="1:31" ht="15.75" x14ac:dyDescent="0.25">
      <c r="A68" s="2"/>
      <c r="B68" s="2"/>
      <c r="C68" s="2"/>
      <c r="D68" s="2"/>
      <c r="E68" s="2"/>
      <c r="F68" s="2"/>
      <c r="G68" s="2"/>
      <c r="H68" s="2"/>
      <c r="I68" s="2"/>
      <c r="J68" s="100" t="s">
        <v>60</v>
      </c>
      <c r="K68" s="101">
        <f>K25+B67+T25+AB25</f>
        <v>8</v>
      </c>
      <c r="L68" s="102"/>
      <c r="M68" s="103"/>
      <c r="N68" s="103"/>
      <c r="O68" s="103"/>
      <c r="P68" s="103"/>
      <c r="Q68" s="2"/>
      <c r="R68" s="2"/>
      <c r="S68" s="2"/>
      <c r="T68" s="2"/>
      <c r="U68" s="2"/>
      <c r="V68" s="2"/>
      <c r="W68" s="2"/>
      <c r="X68" s="2"/>
      <c r="Y68" s="2"/>
    </row>
    <row r="69" spans="1:31" ht="16.5" thickBot="1" x14ac:dyDescent="0.3">
      <c r="A69" s="2"/>
      <c r="B69" s="2"/>
      <c r="C69" s="2"/>
      <c r="D69" s="2"/>
      <c r="E69" s="2"/>
      <c r="F69" s="2"/>
      <c r="G69" s="2"/>
      <c r="H69" s="2"/>
      <c r="I69" s="2"/>
      <c r="J69" s="100" t="s">
        <v>61</v>
      </c>
      <c r="K69" s="104">
        <f>L25+C67+U25+AC25</f>
        <v>33</v>
      </c>
      <c r="L69" s="2"/>
      <c r="M69" s="105" t="s">
        <v>0</v>
      </c>
      <c r="N69" s="105" t="s">
        <v>43</v>
      </c>
      <c r="O69" s="105" t="s">
        <v>54</v>
      </c>
      <c r="P69" s="106"/>
      <c r="R69" s="107"/>
      <c r="T69" s="2"/>
      <c r="U69" s="2"/>
      <c r="V69" s="2"/>
      <c r="W69" s="2"/>
      <c r="X69" s="2"/>
      <c r="Y69" s="2"/>
    </row>
    <row r="70" spans="1:31" ht="27" customHeight="1" thickBot="1" x14ac:dyDescent="0.3">
      <c r="A70" s="2"/>
      <c r="B70" s="2"/>
      <c r="C70" s="2"/>
      <c r="D70" s="2"/>
      <c r="E70" s="2"/>
      <c r="F70" s="2"/>
      <c r="G70" s="2"/>
      <c r="H70" s="2"/>
      <c r="I70" s="2"/>
      <c r="J70" s="108" t="s">
        <v>62</v>
      </c>
      <c r="K70" s="377">
        <f>SUM(G67,P25,Y25)</f>
        <v>0</v>
      </c>
      <c r="L70" s="378"/>
      <c r="M70" s="109">
        <f>SUM(G22,Y20)</f>
        <v>0</v>
      </c>
      <c r="N70" s="110">
        <f>SUM(G40,P4:P15,P18:P24,Y4:Y8,Y15:Y16,Y21:Y22)</f>
        <v>0</v>
      </c>
      <c r="O70" s="109">
        <f>SUM(G46:G51,G54:G63,Y23)</f>
        <v>0</v>
      </c>
      <c r="P70" s="111">
        <f>SUM(M70:O70)</f>
        <v>0</v>
      </c>
      <c r="R70" s="112"/>
      <c r="S70" s="113"/>
      <c r="T70" s="2"/>
      <c r="U70" s="2"/>
      <c r="V70" s="2"/>
      <c r="W70" s="2"/>
      <c r="X70" s="2"/>
      <c r="Y70" s="2"/>
    </row>
    <row r="71" spans="1:31" ht="13.5" thickBot="1" x14ac:dyDescent="0.25"/>
    <row r="72" spans="1:31" ht="36" customHeight="1" thickBot="1" x14ac:dyDescent="0.25">
      <c r="A72" s="365" t="s">
        <v>63</v>
      </c>
      <c r="B72" s="366"/>
      <c r="C72" s="366"/>
      <c r="D72" s="366"/>
      <c r="E72" s="366"/>
      <c r="F72" s="366"/>
      <c r="G72" s="366"/>
      <c r="H72" s="366"/>
      <c r="I72" s="366"/>
      <c r="J72" s="366"/>
      <c r="K72" s="366"/>
      <c r="L72" s="366"/>
      <c r="M72" s="366"/>
      <c r="N72" s="366"/>
      <c r="O72" s="366"/>
      <c r="P72" s="366"/>
      <c r="Q72" s="366"/>
      <c r="R72" s="366"/>
      <c r="S72" s="366"/>
      <c r="T72" s="366"/>
      <c r="U72" s="366"/>
      <c r="V72" s="366"/>
      <c r="W72" s="366"/>
      <c r="X72" s="366"/>
      <c r="Y72" s="366"/>
      <c r="Z72" s="366"/>
      <c r="AA72" s="366"/>
      <c r="AB72" s="366"/>
      <c r="AC72" s="366"/>
      <c r="AD72" s="366"/>
      <c r="AE72" s="367"/>
    </row>
    <row r="73" spans="1:31" ht="286.5" customHeight="1" x14ac:dyDescent="0.2">
      <c r="A73" s="361" t="s">
        <v>338</v>
      </c>
      <c r="B73" s="360"/>
      <c r="C73" s="360"/>
      <c r="D73" s="360"/>
      <c r="E73" s="360"/>
      <c r="F73" s="360"/>
      <c r="G73" s="360"/>
      <c r="H73" s="360"/>
      <c r="I73" s="360"/>
      <c r="J73" s="360"/>
      <c r="K73" s="360"/>
      <c r="L73" s="360"/>
      <c r="M73" s="360"/>
      <c r="N73" s="360"/>
      <c r="O73" s="360"/>
      <c r="P73" s="360"/>
      <c r="Q73" s="360"/>
      <c r="R73" s="360"/>
      <c r="S73" s="360"/>
      <c r="T73" s="360"/>
      <c r="U73" s="360"/>
      <c r="V73" s="360"/>
      <c r="W73" s="360"/>
      <c r="X73" s="360"/>
      <c r="Y73" s="360"/>
      <c r="Z73" s="360"/>
      <c r="AA73" s="360"/>
      <c r="AB73" s="360"/>
      <c r="AC73" s="360"/>
      <c r="AD73" s="360"/>
      <c r="AE73" s="360"/>
    </row>
    <row r="74" spans="1:31" ht="222.75" customHeight="1" x14ac:dyDescent="0.2">
      <c r="A74" s="361"/>
      <c r="B74" s="360"/>
      <c r="C74" s="360"/>
      <c r="D74" s="360"/>
      <c r="E74" s="360"/>
      <c r="F74" s="360"/>
      <c r="G74" s="360"/>
      <c r="H74" s="360"/>
      <c r="I74" s="360"/>
      <c r="J74" s="360"/>
      <c r="K74" s="360"/>
      <c r="L74" s="360"/>
      <c r="M74" s="360"/>
      <c r="N74" s="360"/>
      <c r="O74" s="360"/>
      <c r="P74" s="360"/>
      <c r="Q74" s="360"/>
      <c r="R74" s="360"/>
      <c r="S74" s="360"/>
      <c r="T74" s="360"/>
      <c r="U74" s="360"/>
      <c r="V74" s="360"/>
      <c r="W74" s="360"/>
      <c r="X74" s="360"/>
      <c r="Y74" s="360"/>
      <c r="Z74" s="360"/>
      <c r="AA74" s="360"/>
      <c r="AB74" s="360"/>
      <c r="AC74" s="360"/>
      <c r="AD74" s="360"/>
      <c r="AE74" s="360"/>
    </row>
    <row r="75" spans="1:31" ht="109.5" customHeight="1" x14ac:dyDescent="0.2">
      <c r="A75" s="361"/>
      <c r="B75" s="360"/>
      <c r="C75" s="360"/>
      <c r="D75" s="360"/>
      <c r="E75" s="360"/>
      <c r="F75" s="360"/>
      <c r="G75" s="360"/>
      <c r="H75" s="360"/>
      <c r="I75" s="360"/>
      <c r="J75" s="360"/>
      <c r="K75" s="360"/>
      <c r="L75" s="360"/>
      <c r="M75" s="360"/>
      <c r="N75" s="360"/>
      <c r="O75" s="360"/>
      <c r="P75" s="360"/>
      <c r="Q75" s="360"/>
      <c r="R75" s="360"/>
      <c r="S75" s="360"/>
      <c r="T75" s="360"/>
      <c r="U75" s="360"/>
      <c r="V75" s="360"/>
      <c r="W75" s="360"/>
      <c r="X75" s="360"/>
      <c r="Y75" s="360"/>
      <c r="Z75" s="360"/>
      <c r="AA75" s="360"/>
      <c r="AB75" s="360"/>
      <c r="AC75" s="360"/>
      <c r="AD75" s="360"/>
      <c r="AE75" s="360"/>
    </row>
    <row r="76" spans="1:31" ht="148.5" customHeight="1" x14ac:dyDescent="0.2">
      <c r="A76" s="361"/>
      <c r="B76" s="360"/>
      <c r="C76" s="360"/>
      <c r="D76" s="360"/>
      <c r="E76" s="360"/>
      <c r="F76" s="360"/>
      <c r="G76" s="360"/>
      <c r="H76" s="360"/>
      <c r="I76" s="360"/>
      <c r="J76" s="360"/>
      <c r="K76" s="360"/>
      <c r="L76" s="360"/>
      <c r="M76" s="360"/>
      <c r="N76" s="360"/>
      <c r="O76" s="360"/>
      <c r="P76" s="360"/>
      <c r="Q76" s="360"/>
      <c r="R76" s="360"/>
      <c r="S76" s="360"/>
      <c r="T76" s="360"/>
      <c r="U76" s="360"/>
      <c r="V76" s="360"/>
      <c r="W76" s="360"/>
      <c r="X76" s="360"/>
      <c r="Y76" s="360"/>
      <c r="Z76" s="360"/>
      <c r="AA76" s="360"/>
      <c r="AB76" s="360"/>
      <c r="AC76" s="360"/>
      <c r="AD76" s="360"/>
      <c r="AE76" s="360"/>
    </row>
    <row r="77" spans="1:31" ht="90" customHeight="1" x14ac:dyDescent="0.2">
      <c r="A77" s="361"/>
      <c r="B77" s="360"/>
      <c r="C77" s="360"/>
      <c r="D77" s="360"/>
      <c r="E77" s="360"/>
      <c r="F77" s="360"/>
      <c r="G77" s="360"/>
      <c r="H77" s="360"/>
      <c r="I77" s="360"/>
      <c r="J77" s="360"/>
      <c r="K77" s="360"/>
      <c r="L77" s="360"/>
      <c r="M77" s="360"/>
      <c r="N77" s="360"/>
      <c r="O77" s="360"/>
      <c r="P77" s="360"/>
      <c r="Q77" s="360"/>
      <c r="R77" s="360"/>
      <c r="S77" s="360"/>
      <c r="T77" s="360"/>
      <c r="U77" s="360"/>
      <c r="V77" s="360"/>
      <c r="W77" s="360"/>
      <c r="X77" s="360"/>
      <c r="Y77" s="360"/>
      <c r="Z77" s="360"/>
      <c r="AA77" s="360"/>
      <c r="AB77" s="360"/>
      <c r="AC77" s="360"/>
      <c r="AD77" s="360"/>
      <c r="AE77" s="360"/>
    </row>
    <row r="78" spans="1:31" ht="156" customHeight="1" x14ac:dyDescent="0.2">
      <c r="A78" s="361"/>
      <c r="B78" s="360"/>
      <c r="C78" s="360"/>
      <c r="D78" s="360"/>
      <c r="E78" s="360"/>
      <c r="F78" s="360"/>
      <c r="G78" s="360"/>
      <c r="H78" s="360"/>
      <c r="I78" s="360"/>
      <c r="J78" s="360"/>
      <c r="K78" s="360"/>
      <c r="L78" s="360"/>
      <c r="M78" s="360"/>
      <c r="N78" s="360"/>
      <c r="O78" s="360"/>
      <c r="P78" s="360"/>
      <c r="Q78" s="360"/>
      <c r="R78" s="360"/>
      <c r="S78" s="360"/>
      <c r="T78" s="360"/>
      <c r="U78" s="360"/>
      <c r="V78" s="360"/>
      <c r="W78" s="360"/>
      <c r="X78" s="360"/>
      <c r="Y78" s="360"/>
      <c r="Z78" s="360"/>
      <c r="AA78" s="360"/>
      <c r="AB78" s="360"/>
      <c r="AC78" s="360"/>
      <c r="AD78" s="360"/>
      <c r="AE78" s="360"/>
    </row>
    <row r="79" spans="1:31" ht="258" customHeight="1" x14ac:dyDescent="0.2">
      <c r="A79" s="361"/>
      <c r="B79" s="360"/>
      <c r="C79" s="360"/>
      <c r="D79" s="360"/>
      <c r="E79" s="360"/>
      <c r="F79" s="360"/>
      <c r="G79" s="360"/>
      <c r="H79" s="360"/>
      <c r="I79" s="360"/>
      <c r="J79" s="360"/>
      <c r="K79" s="360"/>
      <c r="L79" s="360"/>
      <c r="M79" s="360"/>
      <c r="N79" s="360"/>
      <c r="O79" s="360"/>
      <c r="P79" s="360"/>
      <c r="Q79" s="360"/>
      <c r="R79" s="360"/>
      <c r="S79" s="360"/>
      <c r="T79" s="360"/>
      <c r="U79" s="360"/>
      <c r="V79" s="360"/>
      <c r="W79" s="360"/>
      <c r="X79" s="360"/>
      <c r="Y79" s="360"/>
      <c r="Z79" s="360"/>
      <c r="AA79" s="360"/>
      <c r="AB79" s="360"/>
      <c r="AC79" s="360"/>
      <c r="AD79" s="360"/>
      <c r="AE79" s="360"/>
    </row>
    <row r="80" spans="1:31" ht="18.75" x14ac:dyDescent="0.2">
      <c r="S80" s="114"/>
      <c r="T80" s="115"/>
      <c r="U80" s="114"/>
    </row>
    <row r="81" spans="1:21" ht="18.75" x14ac:dyDescent="0.2">
      <c r="S81" s="114"/>
      <c r="T81" s="115"/>
      <c r="U81" s="114"/>
    </row>
    <row r="82" spans="1:21" ht="18.75" x14ac:dyDescent="0.2">
      <c r="A82" s="362"/>
      <c r="S82" s="114"/>
      <c r="T82" s="115"/>
      <c r="U82" s="114"/>
    </row>
    <row r="83" spans="1:21" ht="18.75" x14ac:dyDescent="0.2">
      <c r="A83" s="362"/>
      <c r="S83" s="114"/>
      <c r="T83" s="115"/>
      <c r="U83" s="114"/>
    </row>
    <row r="84" spans="1:21" ht="18.75" x14ac:dyDescent="0.2">
      <c r="A84" s="362"/>
      <c r="S84" s="114"/>
      <c r="T84" s="115"/>
      <c r="U84" s="114"/>
    </row>
    <row r="85" spans="1:21" ht="18.75" x14ac:dyDescent="0.25">
      <c r="A85" s="117"/>
      <c r="S85" s="114"/>
      <c r="T85" s="115"/>
      <c r="U85" s="114"/>
    </row>
    <row r="86" spans="1:21" ht="18.75" x14ac:dyDescent="0.25">
      <c r="A86" s="117"/>
      <c r="S86" s="114"/>
      <c r="T86" s="115"/>
      <c r="U86" s="114"/>
    </row>
    <row r="87" spans="1:21" ht="18.75" x14ac:dyDescent="0.25">
      <c r="A87" s="116"/>
      <c r="S87" s="114"/>
      <c r="T87" s="115"/>
      <c r="U87" s="114"/>
    </row>
    <row r="88" spans="1:21" ht="18.75" x14ac:dyDescent="0.2">
      <c r="A88" s="362" t="s">
        <v>64</v>
      </c>
      <c r="B88" s="364"/>
      <c r="S88" s="114"/>
      <c r="T88" s="115"/>
      <c r="U88" s="114"/>
    </row>
    <row r="89" spans="1:21" ht="18.75" x14ac:dyDescent="0.2">
      <c r="A89" s="363"/>
      <c r="B89" s="364"/>
      <c r="S89" s="114"/>
      <c r="T89" s="115"/>
      <c r="U89" s="114"/>
    </row>
    <row r="90" spans="1:21" ht="18.75" x14ac:dyDescent="0.2">
      <c r="A90" s="363"/>
      <c r="B90" s="364"/>
      <c r="S90" s="114"/>
      <c r="T90" s="115"/>
      <c r="U90" s="114"/>
    </row>
    <row r="91" spans="1:21" ht="18.75" x14ac:dyDescent="0.25">
      <c r="A91" s="117"/>
      <c r="B91" s="118"/>
      <c r="S91" s="114"/>
      <c r="T91" s="115"/>
      <c r="U91" s="114"/>
    </row>
    <row r="92" spans="1:21" ht="12.75" customHeight="1" x14ac:dyDescent="0.25">
      <c r="A92" s="119"/>
    </row>
    <row r="93" spans="1:21" ht="12.75" customHeight="1" x14ac:dyDescent="0.2">
      <c r="A93" s="353" t="s">
        <v>65</v>
      </c>
    </row>
    <row r="94" spans="1:21" ht="12.75" customHeight="1" x14ac:dyDescent="0.2">
      <c r="A94" s="354"/>
    </row>
    <row r="95" spans="1:21" ht="12.75" customHeight="1" x14ac:dyDescent="0.2">
      <c r="A95" s="354"/>
    </row>
    <row r="96" spans="1:21" ht="249.75" customHeight="1" x14ac:dyDescent="0.2">
      <c r="A96" s="120"/>
    </row>
    <row r="97" spans="1:1" x14ac:dyDescent="0.2">
      <c r="A97" s="121"/>
    </row>
    <row r="98" spans="1:1" x14ac:dyDescent="0.2">
      <c r="A98" s="121"/>
    </row>
    <row r="99" spans="1:1" x14ac:dyDescent="0.2">
      <c r="A99" s="121"/>
    </row>
    <row r="100" spans="1:1" x14ac:dyDescent="0.2">
      <c r="A100" s="121"/>
    </row>
    <row r="101" spans="1:1" x14ac:dyDescent="0.2">
      <c r="A101" s="121"/>
    </row>
    <row r="102" spans="1:1" x14ac:dyDescent="0.2">
      <c r="A102" s="121"/>
    </row>
    <row r="103" spans="1:1" x14ac:dyDescent="0.2">
      <c r="A103" s="121"/>
    </row>
    <row r="138" spans="6:14" x14ac:dyDescent="0.2">
      <c r="J138" s="3" t="s">
        <v>66</v>
      </c>
      <c r="K138" s="3" t="s">
        <v>67</v>
      </c>
    </row>
    <row r="139" spans="6:14" s="122" customFormat="1" x14ac:dyDescent="0.2">
      <c r="F139" s="122">
        <v>0</v>
      </c>
      <c r="G139" s="122">
        <v>0</v>
      </c>
      <c r="H139" s="122">
        <v>0</v>
      </c>
      <c r="I139" s="122">
        <v>0</v>
      </c>
      <c r="J139" s="122">
        <v>0</v>
      </c>
      <c r="K139" s="122">
        <v>0</v>
      </c>
      <c r="L139" s="122">
        <v>0</v>
      </c>
      <c r="M139" s="122">
        <v>0</v>
      </c>
      <c r="N139" s="122" t="str">
        <f>+CONCATENATE(G139,"VEHICULO",M139)</f>
        <v>0VEHICULO0</v>
      </c>
    </row>
    <row r="140" spans="6:14" s="122" customFormat="1" x14ac:dyDescent="0.2">
      <c r="F140" s="122" t="s">
        <v>68</v>
      </c>
      <c r="G140" s="122" t="s">
        <v>69</v>
      </c>
      <c r="H140" s="122" t="s">
        <v>14</v>
      </c>
      <c r="I140" s="123">
        <v>582964</v>
      </c>
      <c r="J140" s="123" t="s">
        <v>70</v>
      </c>
      <c r="K140" s="124">
        <v>4</v>
      </c>
      <c r="L140" s="122" t="s">
        <v>71</v>
      </c>
      <c r="M140" s="122" t="s">
        <v>72</v>
      </c>
      <c r="N140" s="122" t="str">
        <f t="shared" ref="N140:N186" si="4">+CONCATENATE(G140,F140)</f>
        <v>1.40m³-15H-4OP</v>
      </c>
    </row>
    <row r="141" spans="6:14" s="122" customFormat="1" x14ac:dyDescent="0.2">
      <c r="F141" s="122" t="s">
        <v>73</v>
      </c>
      <c r="G141" s="122" t="s">
        <v>74</v>
      </c>
      <c r="H141" s="122" t="s">
        <v>21</v>
      </c>
      <c r="I141" s="123">
        <v>514916</v>
      </c>
      <c r="J141" s="123" t="s">
        <v>70</v>
      </c>
      <c r="K141" s="124">
        <v>3</v>
      </c>
      <c r="L141" s="122" t="s">
        <v>75</v>
      </c>
      <c r="M141" s="122" t="s">
        <v>72</v>
      </c>
      <c r="N141" s="122" t="str">
        <f t="shared" si="4"/>
        <v>2.40m³-15H-3OP</v>
      </c>
    </row>
    <row r="142" spans="6:14" s="122" customFormat="1" x14ac:dyDescent="0.2">
      <c r="F142" s="122" t="s">
        <v>76</v>
      </c>
      <c r="G142" s="122" t="s">
        <v>77</v>
      </c>
      <c r="H142" s="122" t="s">
        <v>78</v>
      </c>
      <c r="I142" s="123">
        <v>448638</v>
      </c>
      <c r="J142" s="123" t="s">
        <v>70</v>
      </c>
      <c r="K142" s="124">
        <v>2</v>
      </c>
      <c r="L142" s="122" t="s">
        <v>79</v>
      </c>
      <c r="M142" s="122" t="s">
        <v>72</v>
      </c>
      <c r="N142" s="122" t="str">
        <f t="shared" si="4"/>
        <v>3.40m³-15H-2OP</v>
      </c>
    </row>
    <row r="143" spans="6:14" s="122" customFormat="1" x14ac:dyDescent="0.2">
      <c r="F143" s="122" t="s">
        <v>80</v>
      </c>
      <c r="G143" s="122" t="s">
        <v>81</v>
      </c>
      <c r="H143" s="122" t="s">
        <v>82</v>
      </c>
      <c r="I143" s="123">
        <v>381163</v>
      </c>
      <c r="J143" s="123" t="s">
        <v>70</v>
      </c>
      <c r="K143" s="124">
        <v>1</v>
      </c>
      <c r="L143" s="122" t="s">
        <v>83</v>
      </c>
      <c r="M143" s="122" t="s">
        <v>72</v>
      </c>
      <c r="N143" s="122" t="str">
        <f t="shared" si="4"/>
        <v>4.40m³-15H-1OP</v>
      </c>
    </row>
    <row r="144" spans="6:14" s="122" customFormat="1" x14ac:dyDescent="0.2">
      <c r="F144" s="122" t="s">
        <v>84</v>
      </c>
      <c r="G144" s="122" t="s">
        <v>85</v>
      </c>
      <c r="H144" s="122" t="s">
        <v>86</v>
      </c>
      <c r="I144" s="123">
        <v>321680</v>
      </c>
      <c r="J144" s="123" t="s">
        <v>70</v>
      </c>
      <c r="K144" s="124">
        <v>0</v>
      </c>
      <c r="L144" s="122" t="s">
        <v>87</v>
      </c>
      <c r="M144" s="122" t="s">
        <v>72</v>
      </c>
      <c r="N144" s="122" t="str">
        <f t="shared" si="4"/>
        <v>5.40m³-15H-0OP</v>
      </c>
    </row>
    <row r="145" spans="6:14" s="122" customFormat="1" x14ac:dyDescent="0.2">
      <c r="F145" s="122" t="s">
        <v>88</v>
      </c>
      <c r="G145" s="122" t="s">
        <v>89</v>
      </c>
      <c r="H145" s="122" t="s">
        <v>90</v>
      </c>
      <c r="I145" s="123">
        <v>509192</v>
      </c>
      <c r="J145" s="123" t="s">
        <v>91</v>
      </c>
      <c r="K145" s="124">
        <v>4</v>
      </c>
      <c r="L145" s="122" t="s">
        <v>92</v>
      </c>
      <c r="M145" s="122" t="s">
        <v>72</v>
      </c>
      <c r="N145" s="122" t="str">
        <f t="shared" si="4"/>
        <v>6.40m³-9H-4OP</v>
      </c>
    </row>
    <row r="146" spans="6:14" s="122" customFormat="1" x14ac:dyDescent="0.2">
      <c r="F146" s="122" t="s">
        <v>93</v>
      </c>
      <c r="G146" s="122" t="s">
        <v>94</v>
      </c>
      <c r="H146" s="122" t="s">
        <v>95</v>
      </c>
      <c r="I146" s="123">
        <v>450204</v>
      </c>
      <c r="J146" s="123" t="s">
        <v>91</v>
      </c>
      <c r="K146" s="124">
        <v>3</v>
      </c>
      <c r="L146" s="122" t="s">
        <v>96</v>
      </c>
      <c r="M146" s="122" t="s">
        <v>72</v>
      </c>
      <c r="N146" s="122" t="str">
        <f t="shared" si="4"/>
        <v>7.40m³-9H-3OP</v>
      </c>
    </row>
    <row r="147" spans="6:14" s="122" customFormat="1" x14ac:dyDescent="0.2">
      <c r="F147" s="122" t="s">
        <v>97</v>
      </c>
      <c r="G147" s="122" t="s">
        <v>98</v>
      </c>
      <c r="H147" s="122" t="s">
        <v>99</v>
      </c>
      <c r="I147" s="123">
        <v>392186</v>
      </c>
      <c r="J147" s="123" t="s">
        <v>91</v>
      </c>
      <c r="K147" s="124">
        <v>2</v>
      </c>
      <c r="L147" s="122" t="s">
        <v>100</v>
      </c>
      <c r="M147" s="122" t="s">
        <v>72</v>
      </c>
      <c r="N147" s="122" t="str">
        <f t="shared" si="4"/>
        <v>8.40m³-9H-2OP</v>
      </c>
    </row>
    <row r="148" spans="6:14" s="122" customFormat="1" x14ac:dyDescent="0.2">
      <c r="F148" s="122" t="s">
        <v>101</v>
      </c>
      <c r="G148" s="122" t="s">
        <v>102</v>
      </c>
      <c r="H148" s="122" t="s">
        <v>103</v>
      </c>
      <c r="I148" s="123">
        <v>329397</v>
      </c>
      <c r="J148" s="123" t="s">
        <v>91</v>
      </c>
      <c r="K148" s="124">
        <v>1</v>
      </c>
      <c r="L148" s="122" t="s">
        <v>104</v>
      </c>
      <c r="M148" s="122" t="s">
        <v>72</v>
      </c>
      <c r="N148" s="122" t="str">
        <f t="shared" si="4"/>
        <v>9.40m³-9H-1OP</v>
      </c>
    </row>
    <row r="149" spans="6:14" s="122" customFormat="1" x14ac:dyDescent="0.2">
      <c r="F149" s="122" t="s">
        <v>105</v>
      </c>
      <c r="G149" s="122" t="s">
        <v>106</v>
      </c>
      <c r="H149" s="122" t="s">
        <v>107</v>
      </c>
      <c r="I149" s="123">
        <v>280919</v>
      </c>
      <c r="J149" s="123" t="s">
        <v>91</v>
      </c>
      <c r="K149" s="124">
        <v>0</v>
      </c>
      <c r="L149" s="122" t="s">
        <v>108</v>
      </c>
      <c r="M149" s="122" t="s">
        <v>72</v>
      </c>
      <c r="N149" s="122" t="str">
        <f t="shared" si="4"/>
        <v>10.40m³-9H-0OP</v>
      </c>
    </row>
    <row r="150" spans="6:14" s="122" customFormat="1" x14ac:dyDescent="0.2">
      <c r="F150" s="122" t="s">
        <v>109</v>
      </c>
      <c r="G150" s="122" t="s">
        <v>110</v>
      </c>
      <c r="H150" s="122" t="s">
        <v>111</v>
      </c>
      <c r="I150" s="123">
        <v>420585</v>
      </c>
      <c r="J150" s="123" t="s">
        <v>112</v>
      </c>
      <c r="K150" s="124">
        <v>4</v>
      </c>
      <c r="L150" s="122" t="s">
        <v>113</v>
      </c>
      <c r="M150" s="122" t="s">
        <v>72</v>
      </c>
      <c r="N150" s="122" t="str">
        <f t="shared" si="4"/>
        <v>11.40m³-4H-4OP</v>
      </c>
    </row>
    <row r="151" spans="6:14" s="122" customFormat="1" x14ac:dyDescent="0.2">
      <c r="F151" s="122" t="s">
        <v>114</v>
      </c>
      <c r="G151" s="122" t="s">
        <v>115</v>
      </c>
      <c r="H151" s="122" t="s">
        <v>116</v>
      </c>
      <c r="I151" s="123">
        <v>369327</v>
      </c>
      <c r="J151" s="123" t="s">
        <v>112</v>
      </c>
      <c r="K151" s="124">
        <v>3</v>
      </c>
      <c r="L151" s="122" t="s">
        <v>117</v>
      </c>
      <c r="M151" s="122" t="s">
        <v>72</v>
      </c>
      <c r="N151" s="122" t="str">
        <f t="shared" si="4"/>
        <v>12.40m³-4H-3OP</v>
      </c>
    </row>
    <row r="152" spans="6:14" s="122" customFormat="1" x14ac:dyDescent="0.2">
      <c r="F152" s="122" t="s">
        <v>118</v>
      </c>
      <c r="G152" s="122" t="s">
        <v>119</v>
      </c>
      <c r="H152" s="122" t="s">
        <v>120</v>
      </c>
      <c r="I152" s="123">
        <v>323463</v>
      </c>
      <c r="J152" s="123" t="s">
        <v>112</v>
      </c>
      <c r="K152" s="124">
        <v>2</v>
      </c>
      <c r="L152" s="122" t="s">
        <v>121</v>
      </c>
      <c r="M152" s="122" t="s">
        <v>72</v>
      </c>
      <c r="N152" s="122" t="str">
        <f t="shared" si="4"/>
        <v>13.40m³-4H-2OP</v>
      </c>
    </row>
    <row r="153" spans="6:14" s="122" customFormat="1" x14ac:dyDescent="0.2">
      <c r="F153" s="122" t="s">
        <v>122</v>
      </c>
      <c r="G153" s="122" t="s">
        <v>123</v>
      </c>
      <c r="H153" s="122" t="s">
        <v>124</v>
      </c>
      <c r="I153" s="123">
        <v>270330</v>
      </c>
      <c r="J153" s="123" t="s">
        <v>112</v>
      </c>
      <c r="K153" s="124">
        <v>1</v>
      </c>
      <c r="L153" s="122" t="s">
        <v>125</v>
      </c>
      <c r="M153" s="122" t="s">
        <v>72</v>
      </c>
      <c r="N153" s="122" t="str">
        <f t="shared" si="4"/>
        <v>14.40m³-4H-1OP</v>
      </c>
    </row>
    <row r="154" spans="6:14" s="122" customFormat="1" x14ac:dyDescent="0.2">
      <c r="F154" s="122" t="s">
        <v>126</v>
      </c>
      <c r="G154" s="122" t="s">
        <v>127</v>
      </c>
      <c r="H154" s="122" t="s">
        <v>128</v>
      </c>
      <c r="I154" s="123">
        <v>221709</v>
      </c>
      <c r="J154" s="123" t="s">
        <v>112</v>
      </c>
      <c r="K154" s="124">
        <v>0</v>
      </c>
      <c r="L154" s="122" t="s">
        <v>129</v>
      </c>
      <c r="M154" s="122" t="s">
        <v>72</v>
      </c>
      <c r="N154" s="122" t="str">
        <f t="shared" si="4"/>
        <v>15.40m³-4H-0OP</v>
      </c>
    </row>
    <row r="155" spans="6:14" s="122" customFormat="1" x14ac:dyDescent="0.2">
      <c r="F155" s="122" t="s">
        <v>130</v>
      </c>
      <c r="G155" s="122" t="s">
        <v>131</v>
      </c>
      <c r="H155" s="122" t="s">
        <v>19</v>
      </c>
      <c r="I155" s="123">
        <v>501739</v>
      </c>
      <c r="J155" s="123" t="s">
        <v>70</v>
      </c>
      <c r="K155" s="124">
        <v>4</v>
      </c>
      <c r="L155" s="122" t="s">
        <v>132</v>
      </c>
      <c r="M155" s="122" t="s">
        <v>72</v>
      </c>
      <c r="N155" s="122" t="str">
        <f t="shared" si="4"/>
        <v>16.25m³-15H-4OP</v>
      </c>
    </row>
    <row r="156" spans="6:14" s="122" customFormat="1" x14ac:dyDescent="0.2">
      <c r="F156" s="122" t="s">
        <v>133</v>
      </c>
      <c r="G156" s="122" t="s">
        <v>134</v>
      </c>
      <c r="H156" s="122" t="s">
        <v>17</v>
      </c>
      <c r="I156" s="123">
        <v>443323</v>
      </c>
      <c r="J156" s="123" t="s">
        <v>70</v>
      </c>
      <c r="K156" s="124">
        <v>3</v>
      </c>
      <c r="L156" s="122" t="s">
        <v>135</v>
      </c>
      <c r="M156" s="122" t="s">
        <v>72</v>
      </c>
      <c r="N156" s="122" t="str">
        <f t="shared" si="4"/>
        <v>17.25m³-15H-3OP</v>
      </c>
    </row>
    <row r="157" spans="6:14" s="122" customFormat="1" x14ac:dyDescent="0.2">
      <c r="F157" s="122" t="s">
        <v>136</v>
      </c>
      <c r="G157" s="122" t="s">
        <v>137</v>
      </c>
      <c r="H157" s="122" t="s">
        <v>138</v>
      </c>
      <c r="I157" s="123">
        <v>388652</v>
      </c>
      <c r="J157" s="123" t="s">
        <v>70</v>
      </c>
      <c r="K157" s="124">
        <v>2</v>
      </c>
      <c r="L157" s="122" t="s">
        <v>139</v>
      </c>
      <c r="M157" s="122" t="s">
        <v>72</v>
      </c>
      <c r="N157" s="122" t="str">
        <f t="shared" si="4"/>
        <v>18.25m³-15H-2OP</v>
      </c>
    </row>
    <row r="158" spans="6:14" s="122" customFormat="1" x14ac:dyDescent="0.2">
      <c r="F158" s="122" t="s">
        <v>140</v>
      </c>
      <c r="G158" s="122" t="s">
        <v>141</v>
      </c>
      <c r="H158" s="122" t="s">
        <v>142</v>
      </c>
      <c r="I158" s="123">
        <v>323189</v>
      </c>
      <c r="J158" s="123" t="s">
        <v>70</v>
      </c>
      <c r="K158" s="124">
        <v>1</v>
      </c>
      <c r="L158" s="122" t="s">
        <v>143</v>
      </c>
      <c r="M158" s="122" t="s">
        <v>72</v>
      </c>
      <c r="N158" s="122" t="str">
        <f t="shared" si="4"/>
        <v>19.25m³-15H-1OP</v>
      </c>
    </row>
    <row r="159" spans="6:14" s="122" customFormat="1" x14ac:dyDescent="0.2">
      <c r="F159" s="122" t="s">
        <v>144</v>
      </c>
      <c r="G159" s="122" t="s">
        <v>145</v>
      </c>
      <c r="H159" s="122" t="s">
        <v>146</v>
      </c>
      <c r="I159" s="123">
        <v>256051</v>
      </c>
      <c r="J159" s="123" t="s">
        <v>70</v>
      </c>
      <c r="K159" s="124">
        <v>0</v>
      </c>
      <c r="L159" s="122" t="s">
        <v>147</v>
      </c>
      <c r="M159" s="122" t="s">
        <v>72</v>
      </c>
      <c r="N159" s="122" t="str">
        <f t="shared" si="4"/>
        <v>20.25m³-15H-0OP</v>
      </c>
    </row>
    <row r="160" spans="6:14" s="122" customFormat="1" x14ac:dyDescent="0.2">
      <c r="F160" s="122" t="s">
        <v>148</v>
      </c>
      <c r="G160" s="122" t="s">
        <v>149</v>
      </c>
      <c r="H160" s="122" t="s">
        <v>150</v>
      </c>
      <c r="I160" s="123">
        <v>433978</v>
      </c>
      <c r="J160" s="123" t="s">
        <v>91</v>
      </c>
      <c r="K160" s="124">
        <v>4</v>
      </c>
      <c r="L160" s="122" t="s">
        <v>151</v>
      </c>
      <c r="M160" s="122" t="s">
        <v>72</v>
      </c>
      <c r="N160" s="122" t="str">
        <f t="shared" si="4"/>
        <v>21.25m³-9H-4OP</v>
      </c>
    </row>
    <row r="161" spans="6:14" s="122" customFormat="1" x14ac:dyDescent="0.2">
      <c r="F161" s="122" t="s">
        <v>152</v>
      </c>
      <c r="G161" s="122" t="s">
        <v>153</v>
      </c>
      <c r="H161" s="122" t="s">
        <v>154</v>
      </c>
      <c r="I161" s="123">
        <v>386383</v>
      </c>
      <c r="J161" s="123" t="s">
        <v>91</v>
      </c>
      <c r="K161" s="124">
        <v>3</v>
      </c>
      <c r="L161" s="122" t="s">
        <v>155</v>
      </c>
      <c r="M161" s="122" t="s">
        <v>72</v>
      </c>
      <c r="N161" s="122" t="str">
        <f t="shared" si="4"/>
        <v>22.25m³-9H-3OP</v>
      </c>
    </row>
    <row r="162" spans="6:14" s="122" customFormat="1" x14ac:dyDescent="0.2">
      <c r="F162" s="122" t="s">
        <v>156</v>
      </c>
      <c r="G162" s="122" t="s">
        <v>157</v>
      </c>
      <c r="H162" s="122" t="s">
        <v>158</v>
      </c>
      <c r="I162" s="123">
        <v>345928</v>
      </c>
      <c r="J162" s="123" t="s">
        <v>91</v>
      </c>
      <c r="K162" s="124">
        <v>2</v>
      </c>
      <c r="L162" s="122" t="s">
        <v>159</v>
      </c>
      <c r="M162" s="122" t="s">
        <v>72</v>
      </c>
      <c r="N162" s="122" t="str">
        <f t="shared" si="4"/>
        <v>23.25m³-9H-2OP</v>
      </c>
    </row>
    <row r="163" spans="6:14" s="122" customFormat="1" x14ac:dyDescent="0.2">
      <c r="F163" s="122" t="s">
        <v>160</v>
      </c>
      <c r="G163" s="122" t="s">
        <v>161</v>
      </c>
      <c r="H163" s="122" t="s">
        <v>162</v>
      </c>
      <c r="I163" s="123">
        <v>290841</v>
      </c>
      <c r="J163" s="123" t="s">
        <v>91</v>
      </c>
      <c r="K163" s="124">
        <v>1</v>
      </c>
      <c r="L163" s="122" t="s">
        <v>163</v>
      </c>
      <c r="M163" s="122" t="s">
        <v>72</v>
      </c>
      <c r="N163" s="122" t="str">
        <f t="shared" si="4"/>
        <v>24.25m³-9H-1OP</v>
      </c>
    </row>
    <row r="164" spans="6:14" s="122" customFormat="1" x14ac:dyDescent="0.2">
      <c r="F164" s="122" t="s">
        <v>164</v>
      </c>
      <c r="G164" s="122" t="s">
        <v>165</v>
      </c>
      <c r="H164" s="122" t="s">
        <v>166</v>
      </c>
      <c r="I164" s="123">
        <v>225849</v>
      </c>
      <c r="J164" s="123" t="s">
        <v>91</v>
      </c>
      <c r="K164" s="124">
        <v>0</v>
      </c>
      <c r="L164" s="122" t="s">
        <v>167</v>
      </c>
      <c r="M164" s="122" t="s">
        <v>72</v>
      </c>
      <c r="N164" s="122" t="str">
        <f t="shared" si="4"/>
        <v>25.25m³-9H-0OP</v>
      </c>
    </row>
    <row r="165" spans="6:14" s="122" customFormat="1" x14ac:dyDescent="0.2">
      <c r="F165" s="122" t="s">
        <v>168</v>
      </c>
      <c r="G165" s="122" t="s">
        <v>169</v>
      </c>
      <c r="H165" s="122" t="s">
        <v>170</v>
      </c>
      <c r="I165" s="123">
        <v>374201</v>
      </c>
      <c r="J165" s="123" t="s">
        <v>112</v>
      </c>
      <c r="K165" s="124">
        <v>4</v>
      </c>
      <c r="L165" s="122" t="s">
        <v>171</v>
      </c>
      <c r="M165" s="122" t="s">
        <v>72</v>
      </c>
      <c r="N165" s="122" t="str">
        <f t="shared" si="4"/>
        <v>26.25m³-4H-4OP</v>
      </c>
    </row>
    <row r="166" spans="6:14" s="122" customFormat="1" x14ac:dyDescent="0.2">
      <c r="F166" s="122" t="s">
        <v>172</v>
      </c>
      <c r="G166" s="122" t="s">
        <v>173</v>
      </c>
      <c r="H166" s="122" t="s">
        <v>174</v>
      </c>
      <c r="I166" s="123">
        <v>323876</v>
      </c>
      <c r="J166" s="123" t="s">
        <v>112</v>
      </c>
      <c r="K166" s="124">
        <v>3</v>
      </c>
      <c r="L166" s="122" t="s">
        <v>175</v>
      </c>
      <c r="M166" s="122" t="s">
        <v>72</v>
      </c>
      <c r="N166" s="122" t="str">
        <f t="shared" si="4"/>
        <v>27.25m³-4H-3OP</v>
      </c>
    </row>
    <row r="167" spans="6:14" s="122" customFormat="1" x14ac:dyDescent="0.2">
      <c r="F167" s="122" t="s">
        <v>176</v>
      </c>
      <c r="G167" s="122" t="s">
        <v>177</v>
      </c>
      <c r="H167" s="122" t="s">
        <v>178</v>
      </c>
      <c r="I167" s="123">
        <v>283531</v>
      </c>
      <c r="J167" s="123" t="s">
        <v>112</v>
      </c>
      <c r="K167" s="124">
        <v>2</v>
      </c>
      <c r="L167" s="122" t="s">
        <v>179</v>
      </c>
      <c r="M167" s="122" t="s">
        <v>72</v>
      </c>
      <c r="N167" s="122" t="str">
        <f t="shared" si="4"/>
        <v>28.25m³-4H-2OP</v>
      </c>
    </row>
    <row r="168" spans="6:14" s="122" customFormat="1" x14ac:dyDescent="0.2">
      <c r="F168" s="122" t="s">
        <v>180</v>
      </c>
      <c r="G168" s="122" t="s">
        <v>181</v>
      </c>
      <c r="H168" s="122" t="s">
        <v>182</v>
      </c>
      <c r="I168" s="123">
        <v>236854</v>
      </c>
      <c r="J168" s="123" t="s">
        <v>112</v>
      </c>
      <c r="K168" s="124">
        <v>1</v>
      </c>
      <c r="L168" s="122" t="s">
        <v>183</v>
      </c>
      <c r="M168" s="122" t="s">
        <v>72</v>
      </c>
      <c r="N168" s="122" t="str">
        <f t="shared" si="4"/>
        <v>29.25m³-4H-1OP</v>
      </c>
    </row>
    <row r="169" spans="6:14" s="122" customFormat="1" x14ac:dyDescent="0.2">
      <c r="F169" s="122" t="s">
        <v>184</v>
      </c>
      <c r="G169" s="122" t="s">
        <v>185</v>
      </c>
      <c r="H169" s="122" t="s">
        <v>186</v>
      </c>
      <c r="I169" s="123">
        <v>179940</v>
      </c>
      <c r="J169" s="123" t="s">
        <v>112</v>
      </c>
      <c r="K169" s="124">
        <v>0</v>
      </c>
      <c r="L169" s="122" t="s">
        <v>187</v>
      </c>
      <c r="M169" s="122" t="s">
        <v>72</v>
      </c>
      <c r="N169" s="122" t="str">
        <f t="shared" si="4"/>
        <v>30.25m³-4H-0OP</v>
      </c>
    </row>
    <row r="170" spans="6:14" s="122" customFormat="1" x14ac:dyDescent="0.2">
      <c r="F170" s="122" t="s">
        <v>188</v>
      </c>
      <c r="G170" s="122" t="s">
        <v>189</v>
      </c>
      <c r="H170" s="122" t="s">
        <v>23</v>
      </c>
      <c r="I170" s="123">
        <v>239262</v>
      </c>
      <c r="J170" s="123" t="s">
        <v>70</v>
      </c>
      <c r="K170" s="124">
        <v>0</v>
      </c>
      <c r="L170" s="122" t="s">
        <v>190</v>
      </c>
      <c r="M170" s="122" t="s">
        <v>72</v>
      </c>
      <c r="N170" s="122" t="str">
        <f t="shared" si="4"/>
        <v>31.FURGON-15H</v>
      </c>
    </row>
    <row r="171" spans="6:14" s="122" customFormat="1" x14ac:dyDescent="0.2">
      <c r="F171" s="122" t="s">
        <v>191</v>
      </c>
      <c r="G171" s="122" t="s">
        <v>192</v>
      </c>
      <c r="H171" s="122" t="s">
        <v>193</v>
      </c>
      <c r="I171" s="123">
        <v>214754</v>
      </c>
      <c r="J171" s="123" t="s">
        <v>91</v>
      </c>
      <c r="K171" s="124">
        <v>0</v>
      </c>
      <c r="L171" s="122" t="s">
        <v>194</v>
      </c>
      <c r="M171" s="122" t="s">
        <v>72</v>
      </c>
      <c r="N171" s="122" t="str">
        <f t="shared" si="4"/>
        <v>32.FURGON-9H</v>
      </c>
    </row>
    <row r="172" spans="6:14" s="122" customFormat="1" x14ac:dyDescent="0.2">
      <c r="F172" s="122" t="s">
        <v>195</v>
      </c>
      <c r="G172" s="122" t="s">
        <v>196</v>
      </c>
      <c r="H172" s="122" t="s">
        <v>197</v>
      </c>
      <c r="I172" s="123">
        <v>173120</v>
      </c>
      <c r="J172" s="123" t="s">
        <v>112</v>
      </c>
      <c r="K172" s="124">
        <v>0</v>
      </c>
      <c r="L172" s="122" t="s">
        <v>198</v>
      </c>
      <c r="M172" s="122" t="s">
        <v>72</v>
      </c>
      <c r="N172" s="122" t="str">
        <f t="shared" si="4"/>
        <v>33.FURGON-4H</v>
      </c>
    </row>
    <row r="173" spans="6:14" s="122" customFormat="1" x14ac:dyDescent="0.2">
      <c r="F173" s="122" t="s">
        <v>199</v>
      </c>
      <c r="G173" s="122" t="s">
        <v>200</v>
      </c>
      <c r="H173" s="122" t="s">
        <v>41</v>
      </c>
      <c r="I173" s="123">
        <v>373234</v>
      </c>
      <c r="J173" s="123" t="s">
        <v>70</v>
      </c>
      <c r="K173" s="124">
        <v>0</v>
      </c>
      <c r="L173" s="122" t="s">
        <v>201</v>
      </c>
      <c r="M173" s="122" t="s">
        <v>72</v>
      </c>
      <c r="N173" s="122" t="str">
        <f t="shared" si="4"/>
        <v>34.4X4-15H</v>
      </c>
    </row>
    <row r="174" spans="6:14" s="122" customFormat="1" x14ac:dyDescent="0.2">
      <c r="F174" s="122" t="s">
        <v>202</v>
      </c>
      <c r="G174" s="122" t="s">
        <v>203</v>
      </c>
      <c r="H174" s="122" t="s">
        <v>204</v>
      </c>
      <c r="I174" s="123">
        <v>242399</v>
      </c>
      <c r="J174" s="123" t="s">
        <v>91</v>
      </c>
      <c r="K174" s="124">
        <v>0</v>
      </c>
      <c r="L174" s="122" t="s">
        <v>205</v>
      </c>
      <c r="M174" s="122" t="s">
        <v>72</v>
      </c>
      <c r="N174" s="122" t="str">
        <f t="shared" si="4"/>
        <v>35.4X4-9H</v>
      </c>
    </row>
    <row r="175" spans="6:14" s="122" customFormat="1" x14ac:dyDescent="0.2">
      <c r="F175" s="122" t="s">
        <v>206</v>
      </c>
      <c r="G175" s="122" t="s">
        <v>207</v>
      </c>
      <c r="H175" s="122" t="s">
        <v>208</v>
      </c>
      <c r="I175" s="123">
        <v>195220</v>
      </c>
      <c r="J175" s="123" t="s">
        <v>112</v>
      </c>
      <c r="K175" s="124">
        <v>0</v>
      </c>
      <c r="L175" s="122" t="s">
        <v>209</v>
      </c>
      <c r="M175" s="122" t="s">
        <v>72</v>
      </c>
      <c r="N175" s="122" t="str">
        <f t="shared" si="4"/>
        <v>36.4X4-4H</v>
      </c>
    </row>
    <row r="176" spans="6:14" s="122" customFormat="1" x14ac:dyDescent="0.2">
      <c r="F176" s="122" t="s">
        <v>210</v>
      </c>
      <c r="G176" s="122" t="s">
        <v>211</v>
      </c>
      <c r="H176" s="122" t="s">
        <v>212</v>
      </c>
      <c r="I176" s="123">
        <v>836001</v>
      </c>
      <c r="J176" s="123" t="s">
        <v>70</v>
      </c>
      <c r="K176" s="124">
        <v>0</v>
      </c>
      <c r="L176" s="122" t="s">
        <v>213</v>
      </c>
      <c r="M176" s="122" t="s">
        <v>72</v>
      </c>
      <c r="N176" s="122" t="str">
        <f t="shared" si="4"/>
        <v>37.MONTACARGA-15H</v>
      </c>
    </row>
    <row r="177" spans="6:14" s="122" customFormat="1" x14ac:dyDescent="0.2">
      <c r="F177" s="122" t="s">
        <v>214</v>
      </c>
      <c r="G177" s="122" t="s">
        <v>215</v>
      </c>
      <c r="H177" s="122" t="s">
        <v>216</v>
      </c>
      <c r="I177" s="123">
        <v>144356</v>
      </c>
      <c r="J177" s="123" t="s">
        <v>217</v>
      </c>
      <c r="K177" s="124">
        <v>0</v>
      </c>
      <c r="L177" s="122" t="s">
        <v>218</v>
      </c>
      <c r="M177" s="122" t="s">
        <v>72</v>
      </c>
      <c r="N177" s="122" t="str">
        <f t="shared" si="4"/>
        <v>38.MONTACARGA-1H</v>
      </c>
    </row>
    <row r="178" spans="6:14" s="122" customFormat="1" x14ac:dyDescent="0.2">
      <c r="F178" s="122" t="s">
        <v>219</v>
      </c>
      <c r="G178" s="122" t="s">
        <v>220</v>
      </c>
      <c r="H178" s="122" t="s">
        <v>221</v>
      </c>
      <c r="I178" s="123">
        <v>828620</v>
      </c>
      <c r="J178" s="123" t="s">
        <v>70</v>
      </c>
      <c r="K178" s="124">
        <v>0</v>
      </c>
      <c r="L178" s="122" t="s">
        <v>222</v>
      </c>
      <c r="M178" s="122" t="s">
        <v>72</v>
      </c>
      <c r="N178" s="122" t="str">
        <f t="shared" si="4"/>
        <v>39.GRUA-15H-</v>
      </c>
    </row>
    <row r="179" spans="6:14" s="122" customFormat="1" x14ac:dyDescent="0.2">
      <c r="F179" s="122" t="s">
        <v>223</v>
      </c>
      <c r="G179" s="122" t="s">
        <v>224</v>
      </c>
      <c r="H179" s="122" t="s">
        <v>225</v>
      </c>
      <c r="I179" s="123">
        <v>148058</v>
      </c>
      <c r="J179" s="123" t="s">
        <v>217</v>
      </c>
      <c r="K179" s="124">
        <v>0</v>
      </c>
      <c r="L179" s="122" t="s">
        <v>226</v>
      </c>
      <c r="M179" s="122" t="s">
        <v>72</v>
      </c>
      <c r="N179" s="122" t="str">
        <f t="shared" si="4"/>
        <v>40.GRUA-1H</v>
      </c>
    </row>
    <row r="180" spans="6:14" s="122" customFormat="1" x14ac:dyDescent="0.2">
      <c r="F180" s="122" t="s">
        <v>227</v>
      </c>
      <c r="G180" s="122" t="s">
        <v>228</v>
      </c>
      <c r="H180" s="122" t="s">
        <v>36</v>
      </c>
      <c r="I180" s="123">
        <v>53577</v>
      </c>
      <c r="J180" s="123" t="s">
        <v>217</v>
      </c>
      <c r="K180" s="124">
        <v>0</v>
      </c>
      <c r="L180" s="122" t="s">
        <v>229</v>
      </c>
      <c r="M180" s="122" t="s">
        <v>72</v>
      </c>
      <c r="N180" s="122" t="str">
        <f t="shared" si="4"/>
        <v>41.OPERARIO-8-H</v>
      </c>
    </row>
    <row r="181" spans="6:14" s="122" customFormat="1" x14ac:dyDescent="0.2">
      <c r="F181" s="122" t="s">
        <v>230</v>
      </c>
      <c r="G181" s="122" t="s">
        <v>231</v>
      </c>
      <c r="H181" s="122" t="s">
        <v>232</v>
      </c>
      <c r="I181" s="123">
        <v>41562</v>
      </c>
      <c r="J181" s="123" t="s">
        <v>217</v>
      </c>
      <c r="K181" s="124">
        <v>0</v>
      </c>
      <c r="L181" s="122" t="s">
        <v>233</v>
      </c>
      <c r="M181" s="122" t="s">
        <v>72</v>
      </c>
      <c r="N181" s="122" t="str">
        <f t="shared" si="4"/>
        <v>42.OPERARIO-6-H</v>
      </c>
    </row>
    <row r="182" spans="6:14" s="122" customFormat="1" x14ac:dyDescent="0.2">
      <c r="F182" s="122" t="s">
        <v>234</v>
      </c>
      <c r="G182" s="122" t="s">
        <v>235</v>
      </c>
      <c r="H182" s="122" t="s">
        <v>236</v>
      </c>
      <c r="I182" s="123">
        <v>628232</v>
      </c>
      <c r="N182" s="122" t="str">
        <f t="shared" si="4"/>
        <v>43.BOGOTA-REGION-40m³-</v>
      </c>
    </row>
    <row r="183" spans="6:14" s="122" customFormat="1" x14ac:dyDescent="0.2">
      <c r="F183" s="122" t="s">
        <v>237</v>
      </c>
      <c r="G183" s="122" t="s">
        <v>238</v>
      </c>
      <c r="H183" s="122" t="s">
        <v>239</v>
      </c>
      <c r="I183" s="123">
        <v>562619</v>
      </c>
      <c r="N183" s="122" t="str">
        <f t="shared" si="4"/>
        <v>44.BOGOTA-REGION-25m³-</v>
      </c>
    </row>
    <row r="184" spans="6:14" s="122" customFormat="1" x14ac:dyDescent="0.2">
      <c r="F184" s="122" t="s">
        <v>240</v>
      </c>
      <c r="G184" s="122" t="s">
        <v>241</v>
      </c>
      <c r="H184" s="122" t="s">
        <v>242</v>
      </c>
      <c r="I184" s="123">
        <v>418264</v>
      </c>
      <c r="N184" s="122" t="str">
        <f t="shared" si="4"/>
        <v>45.BOGOTA-REGION-FURGON-</v>
      </c>
    </row>
    <row r="185" spans="6:14" s="122" customFormat="1" x14ac:dyDescent="0.2">
      <c r="F185" s="122" t="s">
        <v>243</v>
      </c>
      <c r="G185" s="122" t="s">
        <v>244</v>
      </c>
      <c r="H185" s="122" t="s">
        <v>245</v>
      </c>
      <c r="I185" s="123">
        <v>288714</v>
      </c>
      <c r="N185" s="122" t="str">
        <f t="shared" si="4"/>
        <v>46.BOGOTA-REGION-4X4</v>
      </c>
    </row>
    <row r="186" spans="6:14" x14ac:dyDescent="0.2">
      <c r="H186" s="122" t="s">
        <v>246</v>
      </c>
      <c r="I186" s="123">
        <f>41562*6</f>
        <v>249372</v>
      </c>
      <c r="J186" s="123" t="s">
        <v>217</v>
      </c>
      <c r="N186" s="3" t="str">
        <f t="shared" si="4"/>
        <v/>
      </c>
    </row>
    <row r="187" spans="6:14" x14ac:dyDescent="0.2">
      <c r="H187" s="122" t="s">
        <v>247</v>
      </c>
      <c r="I187" s="123">
        <f>41562*8</f>
        <v>332496</v>
      </c>
      <c r="J187" s="123" t="s">
        <v>217</v>
      </c>
    </row>
    <row r="188" spans="6:14" x14ac:dyDescent="0.2">
      <c r="H188" s="122" t="s">
        <v>248</v>
      </c>
      <c r="I188" s="123">
        <f>41562*10</f>
        <v>415620</v>
      </c>
      <c r="J188" s="123" t="s">
        <v>217</v>
      </c>
    </row>
    <row r="189" spans="6:14" x14ac:dyDescent="0.2">
      <c r="H189" s="122" t="s">
        <v>249</v>
      </c>
      <c r="I189" s="123">
        <f>53577*6</f>
        <v>321462</v>
      </c>
      <c r="J189" s="123" t="s">
        <v>217</v>
      </c>
    </row>
    <row r="190" spans="6:14" x14ac:dyDescent="0.2">
      <c r="H190" s="122" t="s">
        <v>250</v>
      </c>
      <c r="I190" s="123">
        <f>53577*8</f>
        <v>428616</v>
      </c>
      <c r="J190" s="123" t="s">
        <v>217</v>
      </c>
    </row>
    <row r="191" spans="6:14" x14ac:dyDescent="0.2">
      <c r="H191" s="122" t="s">
        <v>251</v>
      </c>
      <c r="I191" s="123">
        <f>53577*10</f>
        <v>535770</v>
      </c>
      <c r="J191" s="123" t="s">
        <v>217</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4">
    <dataValidation type="list" allowBlank="1" showInputMessage="1" showErrorMessage="1" sqref="F4:F10 F16 F26:F28 F34:F38 F54:F63 O4:O8 O18:O19 X4:X6 X15:X16 X20:X23" xr:uid="{CAEEEFE1-47FB-5047-B707-E2CDBEE7F049}">
      <formula1>$H$139:$H$191</formula1>
    </dataValidation>
    <dataValidation type="list" allowBlank="1" showInputMessage="1" showErrorMessage="1" sqref="F29 F20:F21 F11:F13" xr:uid="{E4807097-4575-BC47-8A7D-10F1E79087BA}">
      <formula1>$H$140:$H$185</formula1>
    </dataValidation>
    <dataValidation type="list" allowBlank="1" showInputMessage="1" showErrorMessage="1" sqref="O9:O15 F64 X7:X8 F30:F31 F17:F19 F46:F51 O20:O24" xr:uid="{28E75166-A964-F64E-9859-37FB8A1D4719}">
      <formula1>$H$139:$H$185</formula1>
    </dataValidation>
    <dataValidation type="list" allowBlank="1" showInputMessage="1" showErrorMessage="1" sqref="F39" xr:uid="{35FF5375-961D-004D-9194-E5FA3CF48954}">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04 JUNIO </vt:lpstr>
      <vt:lpstr>11 JUNIO</vt:lpstr>
      <vt:lpstr>12 JUNIO</vt:lpstr>
      <vt:lpstr>18 JUNIO</vt:lpstr>
      <vt:lpstr>19 JUNIO</vt:lpstr>
      <vt:lpstr>25 JUNIO</vt:lpstr>
      <vt:lpstr>INFORME FINAL JUNIO</vt:lpstr>
      <vt:lpstr>SALDOS POR PROYECTO</vt:lpstr>
      <vt:lpstr>PLANTILLA</vt:lpstr>
      <vt:lpstr>'04 JUNIO '!Área_de_impresión</vt:lpstr>
      <vt:lpstr>'11 JUNIO'!Área_de_impresión</vt:lpstr>
      <vt:lpstr>'12 JUNIO'!Área_de_impresión</vt:lpstr>
      <vt:lpstr>'18 JUNIO'!Área_de_impresión</vt:lpstr>
      <vt:lpstr>'19 JUNIO'!Área_de_impresión</vt:lpstr>
      <vt:lpstr>'25 JUNIO'!Área_de_impresión</vt:lpstr>
      <vt:lpstr>PLANTILLA!Área_de_impresión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MARTINEZ</dc:creator>
  <cp:lastModifiedBy>Mauricio Orlando Novoa Montenegro</cp:lastModifiedBy>
  <dcterms:created xsi:type="dcterms:W3CDTF">2023-05-04T13:56:57Z</dcterms:created>
  <dcterms:modified xsi:type="dcterms:W3CDTF">2023-07-07T00:44:53Z</dcterms:modified>
</cp:coreProperties>
</file>