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OCUMENTOS\Documents\MINI SALUD 2023\MINIMAS 2023\ADECUACIONES RED ELEC\"/>
    </mc:Choice>
  </mc:AlternateContent>
  <xr:revisionPtr revIDLastSave="0" documentId="8_{5F74984F-5674-4525-88EE-7794310FF64D}" xr6:coauthVersionLast="47" xr6:coauthVersionMax="47" xr10:uidLastSave="{00000000-0000-0000-0000-000000000000}"/>
  <bookViews>
    <workbookView xWindow="-120" yWindow="-120" windowWidth="20730" windowHeight="11160" xr2:uid="{C2A9A5DE-6CEE-9F41-82F9-46F461C83BB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40" i="1" l="1"/>
  <c r="Q37" i="1" l="1"/>
  <c r="Q36" i="1"/>
  <c r="Q35" i="1"/>
  <c r="Q34" i="1"/>
  <c r="P35" i="1"/>
  <c r="P36" i="1"/>
  <c r="P34" i="1"/>
  <c r="P28" i="1"/>
  <c r="Q28" i="1" s="1"/>
  <c r="P29" i="1"/>
  <c r="Q29" i="1" s="1"/>
  <c r="P30" i="1"/>
  <c r="Q30" i="1" s="1"/>
  <c r="P31" i="1"/>
  <c r="Q31" i="1" s="1"/>
  <c r="P32" i="1"/>
  <c r="Q32" i="1" s="1"/>
  <c r="P27" i="1"/>
  <c r="Q27" i="1" s="1"/>
  <c r="P22" i="1"/>
  <c r="Q22" i="1" s="1"/>
  <c r="P23" i="1"/>
  <c r="Q23" i="1" s="1"/>
  <c r="P24" i="1"/>
  <c r="Q24" i="1" s="1"/>
  <c r="P25" i="1"/>
  <c r="Q25" i="1" s="1"/>
  <c r="P21" i="1"/>
  <c r="Q21" i="1" s="1"/>
  <c r="P12" i="1"/>
  <c r="Q12" i="1" s="1"/>
  <c r="P13" i="1"/>
  <c r="Q13" i="1" s="1"/>
  <c r="P14" i="1"/>
  <c r="Q14" i="1" s="1"/>
  <c r="P15" i="1"/>
  <c r="Q15" i="1" s="1"/>
  <c r="P16" i="1"/>
  <c r="Q16" i="1" s="1"/>
  <c r="P17" i="1"/>
  <c r="Q17" i="1" s="1"/>
  <c r="P18" i="1"/>
  <c r="Q18" i="1" s="1"/>
  <c r="P19" i="1"/>
  <c r="Q19" i="1" s="1"/>
  <c r="P11" i="1"/>
  <c r="Q11" i="1" s="1"/>
  <c r="P9" i="1"/>
  <c r="Q9" i="1" s="1"/>
  <c r="O36" i="1" l="1"/>
  <c r="O35" i="1"/>
  <c r="O34" i="1"/>
  <c r="O28" i="1"/>
  <c r="O29" i="1"/>
  <c r="O30" i="1"/>
  <c r="O31" i="1"/>
  <c r="O32" i="1"/>
  <c r="O27" i="1"/>
  <c r="O22" i="1"/>
  <c r="O23" i="1"/>
  <c r="O24" i="1"/>
  <c r="O25" i="1"/>
  <c r="O21" i="1"/>
  <c r="O12" i="1"/>
  <c r="O13" i="1"/>
  <c r="O14" i="1"/>
  <c r="O15" i="1"/>
  <c r="O16" i="1"/>
  <c r="O17" i="1"/>
  <c r="O18" i="1"/>
  <c r="O19" i="1"/>
  <c r="O11" i="1"/>
  <c r="O9" i="1"/>
  <c r="N35" i="1"/>
  <c r="N36" i="1"/>
  <c r="N34" i="1"/>
  <c r="M35" i="1"/>
  <c r="M36" i="1"/>
  <c r="M34" i="1"/>
  <c r="N28" i="1"/>
  <c r="N29" i="1"/>
  <c r="N30" i="1"/>
  <c r="N31" i="1"/>
  <c r="N32" i="1"/>
  <c r="N27" i="1"/>
  <c r="N22" i="1"/>
  <c r="N23" i="1"/>
  <c r="N24" i="1"/>
  <c r="N25" i="1"/>
  <c r="N21" i="1"/>
  <c r="N12" i="1"/>
  <c r="N13" i="1"/>
  <c r="N14" i="1"/>
  <c r="N15" i="1"/>
  <c r="N16" i="1"/>
  <c r="N17" i="1"/>
  <c r="N18" i="1"/>
  <c r="N19" i="1"/>
  <c r="N11" i="1"/>
  <c r="N9" i="1"/>
  <c r="M28" i="1"/>
  <c r="M29" i="1"/>
  <c r="M30" i="1"/>
  <c r="M31" i="1"/>
  <c r="M32" i="1"/>
  <c r="M27" i="1"/>
  <c r="M22" i="1"/>
  <c r="M23" i="1"/>
  <c r="M24" i="1"/>
  <c r="M25" i="1"/>
  <c r="M21" i="1"/>
  <c r="M12" i="1"/>
  <c r="M13" i="1"/>
  <c r="M14" i="1"/>
  <c r="M15" i="1"/>
  <c r="M16" i="1"/>
  <c r="M17" i="1"/>
  <c r="M18" i="1"/>
  <c r="M19" i="1"/>
  <c r="M11" i="1"/>
  <c r="M9" i="1"/>
  <c r="L35" i="1"/>
  <c r="L36" i="1"/>
  <c r="L34" i="1"/>
  <c r="L28" i="1"/>
  <c r="L29" i="1"/>
  <c r="L30" i="1"/>
  <c r="L31" i="1"/>
  <c r="L32" i="1"/>
  <c r="L27" i="1"/>
  <c r="L22" i="1"/>
  <c r="L23" i="1"/>
  <c r="L24" i="1"/>
  <c r="L25" i="1"/>
  <c r="L21" i="1"/>
  <c r="L12" i="1"/>
  <c r="L13" i="1"/>
  <c r="L14" i="1"/>
  <c r="L15" i="1"/>
  <c r="L16" i="1"/>
  <c r="L17" i="1"/>
  <c r="L18" i="1"/>
  <c r="L19" i="1"/>
  <c r="L11" i="1"/>
  <c r="L9" i="1"/>
  <c r="K32" i="1" l="1"/>
  <c r="K31" i="1"/>
  <c r="K30" i="1"/>
  <c r="K29" i="1"/>
  <c r="K28" i="1"/>
  <c r="K27" i="1"/>
  <c r="K25" i="1"/>
  <c r="K24" i="1"/>
  <c r="K23" i="1"/>
  <c r="K22" i="1"/>
  <c r="K21" i="1"/>
  <c r="K19" i="1"/>
  <c r="K18" i="1"/>
  <c r="K17" i="1"/>
  <c r="K16" i="1"/>
  <c r="K15" i="1"/>
  <c r="K14" i="1"/>
  <c r="K13" i="1"/>
  <c r="K12" i="1"/>
  <c r="K11" i="1"/>
  <c r="K9" i="1"/>
  <c r="I32" i="1"/>
  <c r="I31" i="1"/>
  <c r="I30" i="1"/>
  <c r="I29" i="1"/>
  <c r="I28" i="1"/>
  <c r="I27" i="1"/>
  <c r="I25" i="1"/>
  <c r="I24" i="1"/>
  <c r="I23" i="1"/>
  <c r="I22" i="1"/>
  <c r="I21" i="1"/>
  <c r="I19" i="1"/>
  <c r="I18" i="1"/>
  <c r="I17" i="1"/>
  <c r="I16" i="1"/>
  <c r="I15" i="1"/>
  <c r="I14" i="1"/>
  <c r="I13" i="1"/>
  <c r="I12" i="1"/>
  <c r="I11" i="1"/>
  <c r="I9" i="1"/>
  <c r="G28" i="1" l="1"/>
  <c r="G29" i="1"/>
  <c r="G30" i="1"/>
  <c r="G31" i="1"/>
  <c r="G32" i="1"/>
  <c r="G27" i="1"/>
  <c r="G22" i="1"/>
  <c r="G23" i="1"/>
  <c r="G24" i="1"/>
  <c r="G25" i="1"/>
  <c r="G21" i="1"/>
  <c r="G12" i="1"/>
  <c r="G13" i="1"/>
  <c r="G14" i="1"/>
  <c r="G15" i="1"/>
  <c r="G16" i="1"/>
  <c r="G17" i="1"/>
  <c r="G18" i="1"/>
  <c r="G19" i="1"/>
  <c r="G11" i="1"/>
  <c r="G9" i="1"/>
  <c r="Q33" i="1" l="1"/>
  <c r="K33" i="1"/>
  <c r="K34" i="1" s="1"/>
  <c r="I33" i="1"/>
  <c r="I36" i="1" s="1"/>
  <c r="I37" i="1" s="1"/>
  <c r="G33" i="1"/>
  <c r="K35" i="1" l="1"/>
  <c r="I34" i="1"/>
  <c r="I35" i="1"/>
  <c r="K36" i="1"/>
  <c r="K37" i="1" s="1"/>
  <c r="E13" i="1"/>
  <c r="E15" i="1" s="1"/>
  <c r="E14" i="1"/>
  <c r="E16" i="1"/>
  <c r="E17" i="1"/>
  <c r="E23" i="1"/>
  <c r="E22" i="1"/>
  <c r="P38" i="1" l="1"/>
  <c r="H38" i="1"/>
  <c r="J38" i="1"/>
  <c r="G36" i="1"/>
  <c r="G37" i="1" s="1"/>
  <c r="G34" i="1" l="1"/>
  <c r="G35" i="1"/>
  <c r="F38" i="1" l="1"/>
</calcChain>
</file>

<file path=xl/sharedStrings.xml><?xml version="1.0" encoding="utf-8"?>
<sst xmlns="http://schemas.openxmlformats.org/spreadsheetml/2006/main" count="99" uniqueCount="74">
  <si>
    <t>Ítem</t>
  </si>
  <si>
    <t>Descripción</t>
  </si>
  <si>
    <t>Unidad</t>
  </si>
  <si>
    <t>Cantidad</t>
  </si>
  <si>
    <t>Preliminares</t>
  </si>
  <si>
    <t>Actualización de planos</t>
  </si>
  <si>
    <t>Und</t>
  </si>
  <si>
    <t>Salidas eléctricas</t>
  </si>
  <si>
    <t>Limpieza de tableros</t>
  </si>
  <si>
    <t>Cambio de tomas gfci en baños y cocina 2 piso</t>
  </si>
  <si>
    <t>Conectar a tierra las cajas de salidas de iluminación y tomas</t>
  </si>
  <si>
    <t>Señalización de canalizaciones eléctricas</t>
  </si>
  <si>
    <t>Instalación de conectores certificados en salidas eléctricas</t>
  </si>
  <si>
    <t xml:space="preserve">Instalación de tapa ciega, prensa estopa y encauchetado para las salidas de iluminación </t>
  </si>
  <si>
    <t>Conexión a tierra de canaletas de tomas (pared) y sobre el cielo razo en los 4 pisos</t>
  </si>
  <si>
    <t>ML</t>
  </si>
  <si>
    <t>Cambio de tubería e instalación de tramos faltantes sobre cielo falso EN TODOS LOS PISOS</t>
  </si>
  <si>
    <t>Separación de conductores de comunicación y eléctrico en canaletas (especialmente en las intersecciones)</t>
  </si>
  <si>
    <t>Tableros</t>
  </si>
  <si>
    <t xml:space="preserve">Mover tablero del 2 piso, cambio de interruptores electromagnéticos de 30A a 20A </t>
  </si>
  <si>
    <t>Instalación de diagramas unifilares y cuadros de carga en tableros</t>
  </si>
  <si>
    <t>Identificación de salidas eléctricas</t>
  </si>
  <si>
    <t>Instalación de iluminación de emergencia</t>
  </si>
  <si>
    <t>Instalación de platinas en interruptores electromagnéticos en tablero general</t>
  </si>
  <si>
    <t>Instalaciones exteriores y bodega</t>
  </si>
  <si>
    <t>Instalación de caja de inspección del sistema de puesta a tierra</t>
  </si>
  <si>
    <t>Normalización de caja de inspección, acometida del medidor al tablero general</t>
  </si>
  <si>
    <t>Mover tablero ubicado en una esquina de la bodega (no cumple espacio de trabajo)</t>
  </si>
  <si>
    <t>Instalación de luminarias de emergencia en las salidas de emergencia</t>
  </si>
  <si>
    <t>Instalación de Luminarias exteriores (fachada- incluye grúa)</t>
  </si>
  <si>
    <t>Instalación de sistema de protección contra rayos</t>
  </si>
  <si>
    <t>SUBTOTAL</t>
  </si>
  <si>
    <t>Administracion</t>
  </si>
  <si>
    <t>Imprevistos</t>
  </si>
  <si>
    <t xml:space="preserve">Utilidad </t>
  </si>
  <si>
    <t>IVA</t>
  </si>
  <si>
    <t>TOTAL</t>
  </si>
  <si>
    <t>1.1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</si>
  <si>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</si>
  <si>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</si>
  <si>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</si>
  <si>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</si>
  <si>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</si>
  <si>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</si>
  <si>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</si>
  <si>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</si>
  <si>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</si>
  <si>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3.1</t>
  </si>
  <si>
    <t>3.2</t>
  </si>
  <si>
    <t>3.3</t>
  </si>
  <si>
    <t>3.4</t>
  </si>
  <si>
    <t>3.5</t>
  </si>
  <si>
    <t>4.1</t>
  </si>
  <si>
    <t>4.2</t>
  </si>
  <si>
    <t>4.3</t>
  </si>
  <si>
    <t>4.4</t>
  </si>
  <si>
    <t>4.5</t>
  </si>
  <si>
    <t>4.6</t>
  </si>
  <si>
    <t xml:space="preserve">Valor Unitario </t>
  </si>
  <si>
    <t>Valor Total</t>
  </si>
  <si>
    <t>PRECIOS TECHO</t>
  </si>
  <si>
    <t>1. TOBON INGENIERIA SAS</t>
  </si>
  <si>
    <t>2. PRODIELCO</t>
  </si>
  <si>
    <t>3. INGEOMAD</t>
  </si>
  <si>
    <t>MENOR VALOR</t>
  </si>
  <si>
    <t>DESVIACIÓN ESTANDAR</t>
  </si>
  <si>
    <t>MEDIANA</t>
  </si>
  <si>
    <t>PORCENTAJE DE DISPERSIÓN</t>
  </si>
  <si>
    <t>% DISPERSIÓN &gt;=</t>
  </si>
  <si>
    <t>: MEDIANA</t>
  </si>
  <si>
    <t>% DISPERSIÓN &lt;</t>
  </si>
  <si>
    <t>: PROMEDIO (MENOR;MEDIANA)</t>
  </si>
  <si>
    <t>ANEXO 1 - ESTUDIO DE MERCADO ADECUACIONES RETIE ZONA FRANCA - Ministerio de Salud y Protección Social</t>
  </si>
  <si>
    <t>SMMLV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</si>
</sst>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164" formatCode="_-&quot;$&quot;* #,##0_-;\-&quot;$&quot;* #,##0_-;_-&quot;$&quot;* &quot;-&quot;_-;_-@_-"/>
    <numFmt numFmtId="165" formatCode="_(&quot;$&quot;\ * #,##0_);_(&quot;$&quot;\ * \(#,##0\);_(&quot;$&quot;\ * &quot;-&quot;??_);_(@_)"/>
    <numFmt numFmtId="166" formatCode="_(&quot;$&quot;\ * #,##0.00_);_(&quot;$&quot;\ * \(#,##0.00\);_(&quot;$&quot;\ * &quot;-&quot;??_);_(@_)"/>
    <numFmt numFmtId="167" formatCode="&quot;$&quot;\ #,##0.00"/>
  </numFmts>
  <fonts count="13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Arial Narrow"/>
      <family val="2"/>
    </font>
    <font>
      <sz val="12"/>
      <color theme="1"/>
      <name val="Arial Narrow"/>
      <family val="2"/>
    </font>
    <font>
      <b/>
      <sz val="11"/>
      <color theme="1"/>
      <name val="Arial Narrow"/>
      <family val="2"/>
    </font>
    <font>
      <sz val="16"/>
      <color theme="1"/>
      <name val="Arial Narrow"/>
      <family val="2"/>
    </font>
    <font>
      <b/>
      <sz val="16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sz val="11"/>
      <color theme="1"/>
      <name val="Calibri"/>
      <charset val="134"/>
      <scheme val="minor"/>
    </font>
    <font>
      <b/>
      <sz val="14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166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53">
    <xf numFmtId="0" fontId="0" fillId="0" borderId="0" xfId="0"/>
    <xf numFmtId="0" fontId="6" fillId="0" borderId="4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165" fontId="6" fillId="2" borderId="4" xfId="0" applyNumberFormat="1" applyFont="1" applyFill="1" applyBorder="1" applyAlignment="1">
      <alignment horizontal="center" vertical="center"/>
    </xf>
    <xf numFmtId="165" fontId="6" fillId="2" borderId="4" xfId="0" applyNumberFormat="1" applyFont="1" applyFill="1" applyBorder="1" applyAlignment="1">
      <alignment horizontal="center" vertical="center" wrapText="1"/>
    </xf>
    <xf numFmtId="165" fontId="5" fillId="2" borderId="4" xfId="2" applyNumberFormat="1" applyFont="1" applyFill="1" applyBorder="1" applyAlignment="1" applyProtection="1">
      <alignment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left" vertical="center" wrapText="1"/>
    </xf>
    <xf numFmtId="165" fontId="5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165" fontId="5" fillId="2" borderId="3" xfId="2" applyNumberFormat="1" applyFont="1" applyFill="1" applyBorder="1" applyAlignment="1" applyProtection="1">
      <alignment vertical="center"/>
    </xf>
    <xf numFmtId="167" fontId="5" fillId="0" borderId="4" xfId="2" applyNumberFormat="1" applyFont="1" applyFill="1" applyBorder="1" applyAlignment="1" applyProtection="1">
      <alignment vertical="center"/>
    </xf>
    <xf numFmtId="167" fontId="5" fillId="0" borderId="4" xfId="2" applyNumberFormat="1" applyFont="1" applyFill="1" applyBorder="1" applyAlignment="1" applyProtection="1">
      <alignment vertical="center"/>
      <protection locked="0"/>
    </xf>
    <xf numFmtId="165" fontId="9" fillId="2" borderId="4" xfId="0" applyNumberFormat="1" applyFont="1" applyFill="1" applyBorder="1" applyAlignment="1">
      <alignment vertical="center" wrapText="1"/>
    </xf>
    <xf numFmtId="167" fontId="9" fillId="2" borderId="4" xfId="0" applyNumberFormat="1" applyFont="1" applyFill="1" applyBorder="1" applyAlignment="1">
      <alignment vertical="center" wrapText="1"/>
    </xf>
    <xf numFmtId="0" fontId="5" fillId="0" borderId="0" xfId="0" applyFont="1" applyAlignment="1">
      <alignment vertical="center"/>
    </xf>
    <xf numFmtId="0" fontId="5" fillId="0" borderId="4" xfId="0" applyFont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7" fillId="0" borderId="4" xfId="0" applyFont="1" applyBorder="1" applyAlignment="1">
      <alignment vertical="center"/>
    </xf>
    <xf numFmtId="9" fontId="5" fillId="0" borderId="4" xfId="0" applyNumberFormat="1" applyFont="1" applyBorder="1" applyAlignment="1" applyProtection="1">
      <alignment vertical="center"/>
      <protection locked="0"/>
    </xf>
    <xf numFmtId="167" fontId="5" fillId="0" borderId="4" xfId="0" applyNumberFormat="1" applyFont="1" applyBorder="1" applyAlignment="1">
      <alignment vertical="center"/>
    </xf>
    <xf numFmtId="9" fontId="5" fillId="0" borderId="4" xfId="0" applyNumberFormat="1" applyFont="1" applyBorder="1" applyAlignment="1">
      <alignment vertical="center"/>
    </xf>
    <xf numFmtId="167" fontId="5" fillId="0" borderId="4" xfId="1" applyNumberFormat="1" applyFont="1" applyBorder="1" applyAlignment="1" applyProtection="1">
      <alignment vertical="center"/>
    </xf>
    <xf numFmtId="0" fontId="7" fillId="4" borderId="4" xfId="0" applyFont="1" applyFill="1" applyBorder="1" applyAlignment="1">
      <alignment vertical="center"/>
    </xf>
    <xf numFmtId="0" fontId="5" fillId="4" borderId="4" xfId="0" applyFont="1" applyFill="1" applyBorder="1" applyAlignment="1">
      <alignment vertical="center"/>
    </xf>
    <xf numFmtId="164" fontId="5" fillId="0" borderId="0" xfId="1" applyFont="1" applyAlignment="1" applyProtection="1">
      <alignment vertical="center"/>
    </xf>
    <xf numFmtId="167" fontId="5" fillId="2" borderId="4" xfId="0" applyNumberFormat="1" applyFont="1" applyFill="1" applyBorder="1" applyAlignment="1">
      <alignment vertical="center"/>
    </xf>
    <xf numFmtId="10" fontId="5" fillId="0" borderId="4" xfId="3" applyNumberFormat="1" applyFont="1" applyBorder="1" applyAlignment="1" applyProtection="1">
      <alignment vertical="center"/>
    </xf>
    <xf numFmtId="10" fontId="5" fillId="0" borderId="4" xfId="0" applyNumberFormat="1" applyFont="1" applyBorder="1" applyAlignment="1">
      <alignment vertical="center"/>
    </xf>
    <xf numFmtId="0" fontId="10" fillId="0" borderId="0" xfId="4" applyFont="1" applyAlignment="1">
      <alignment vertical="center"/>
    </xf>
    <xf numFmtId="0" fontId="10" fillId="0" borderId="0" xfId="4" applyFont="1" applyAlignment="1">
      <alignment horizontal="right" vertical="center"/>
    </xf>
    <xf numFmtId="10" fontId="5" fillId="0" borderId="4" xfId="3" applyNumberFormat="1" applyFont="1" applyFill="1" applyBorder="1" applyAlignment="1" applyProtection="1">
      <alignment vertical="center"/>
      <protection locked="0"/>
    </xf>
    <xf numFmtId="2" fontId="9" fillId="0" borderId="0" xfId="0" applyNumberFormat="1" applyFont="1" applyAlignment="1">
      <alignment vertical="center"/>
    </xf>
    <xf numFmtId="0" fontId="9" fillId="0" borderId="0" xfId="0" applyFont="1" applyAlignment="1">
      <alignment horizontal="center" vertical="center"/>
    </xf>
    <xf numFmtId="9" fontId="12" fillId="0" borderId="0" xfId="4" applyNumberFormat="1" applyFont="1" applyAlignment="1">
      <alignment horizontal="center" vertical="center"/>
    </xf>
    <xf numFmtId="0" fontId="12" fillId="0" borderId="0" xfId="4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165" fontId="9" fillId="4" borderId="4" xfId="0" applyNumberFormat="1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166" fontId="9" fillId="4" borderId="4" xfId="0" applyNumberFormat="1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165" fontId="8" fillId="2" borderId="1" xfId="0" applyNumberFormat="1" applyFont="1" applyFill="1" applyBorder="1" applyAlignment="1">
      <alignment horizontal="center" vertical="center" wrapText="1"/>
    </xf>
    <xf numFmtId="165" fontId="8" fillId="2" borderId="2" xfId="0" applyNumberFormat="1" applyFont="1" applyFill="1" applyBorder="1" applyAlignment="1">
      <alignment horizontal="center" vertical="center" wrapText="1"/>
    </xf>
    <xf numFmtId="165" fontId="8" fillId="2" borderId="3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</cellXfs>
  <cellStyles count="11">
    <cellStyle name="Moneda [0]" xfId="1" builtinId="7"/>
    <cellStyle name="Moneda [0] 2" xfId="6" xr:uid="{00000000-0005-0000-0000-00002F000000}"/>
    <cellStyle name="Moneda [0] 2 2" xfId="9" xr:uid="{00000000-0005-0000-0000-00001E000000}"/>
    <cellStyle name="Moneda [0] 2 3" xfId="10" xr:uid="{00000000-0005-0000-0000-00001E000000}"/>
    <cellStyle name="Moneda 2" xfId="2" xr:uid="{CFA1663F-0422-994C-8F5F-3EBD6981C854}"/>
    <cellStyle name="Normal" xfId="0" builtinId="0"/>
    <cellStyle name="Normal 2" xfId="7" xr:uid="{00000000-0005-0000-0000-000031000000}"/>
    <cellStyle name="Normal 3" xfId="4" xr:uid="{00000000-0005-0000-0000-000033000000}"/>
    <cellStyle name="Porcentaje" xfId="3" builtinId="5"/>
    <cellStyle name="Porcentaje 2" xfId="8" xr:uid="{00000000-0005-0000-0000-000032000000}"/>
    <cellStyle name="Porcentaje 3" xfId="5" xr:uid="{00000000-0005-0000-0000-000035000000}"/>
  </cellStyles>
  <dxfs count="1">
    <dxf>
      <font>
        <color rgb="FF9C0006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1CF1C-F987-C04D-BD4D-F4ADBB4EC4CD}">
  <dimension ref="B5:Q41"/>
  <sheetViews>
    <sheetView tabSelected="1" topLeftCell="H28" workbookViewId="0">
      <selection activeCell="O47" sqref="O47"/>
    </sheetView>
  </sheetViews>
  <sheetFormatPr baseColWidth="10" defaultRowHeight="15.75"/>
  <cols>
    <col min="1" max="1" width="11" style="18"/>
    <col min="2" max="2" width="11" style="18" bestFit="1" customWidth="1"/>
    <col min="3" max="3" width="38.125" style="18" customWidth="1"/>
    <col min="4" max="4" width="11" style="18"/>
    <col min="5" max="5" width="10" style="18" customWidth="1"/>
    <col min="6" max="11" width="16.25" style="18" customWidth="1"/>
    <col min="12" max="15" width="15" style="18" customWidth="1"/>
    <col min="16" max="17" width="16.25" style="18" customWidth="1"/>
    <col min="18" max="16384" width="11" style="18"/>
  </cols>
  <sheetData>
    <row r="5" spans="2:17" ht="23.25">
      <c r="B5" s="39" t="s">
        <v>72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</row>
    <row r="6" spans="2:17" ht="15.75" customHeight="1">
      <c r="B6" s="51" t="s">
        <v>0</v>
      </c>
      <c r="C6" s="51" t="s">
        <v>1</v>
      </c>
      <c r="D6" s="51" t="s">
        <v>2</v>
      </c>
      <c r="E6" s="51" t="s">
        <v>3</v>
      </c>
      <c r="F6" s="41" t="s">
        <v>61</v>
      </c>
      <c r="G6" s="42"/>
      <c r="H6" s="41" t="s">
        <v>62</v>
      </c>
      <c r="I6" s="42"/>
      <c r="J6" s="41" t="s">
        <v>63</v>
      </c>
      <c r="K6" s="42"/>
      <c r="L6" s="40" t="s">
        <v>64</v>
      </c>
      <c r="M6" s="40" t="s">
        <v>65</v>
      </c>
      <c r="N6" s="40" t="s">
        <v>66</v>
      </c>
      <c r="O6" s="40" t="s">
        <v>67</v>
      </c>
      <c r="P6" s="41" t="s">
        <v>60</v>
      </c>
      <c r="Q6" s="42"/>
    </row>
    <row r="7" spans="2:17" ht="15.75" customHeight="1">
      <c r="B7" s="52"/>
      <c r="C7" s="52"/>
      <c r="D7" s="52"/>
      <c r="E7" s="52"/>
      <c r="F7" s="1" t="s">
        <v>58</v>
      </c>
      <c r="G7" s="1" t="s">
        <v>59</v>
      </c>
      <c r="H7" s="1" t="s">
        <v>58</v>
      </c>
      <c r="I7" s="1" t="s">
        <v>59</v>
      </c>
      <c r="J7" s="1" t="s">
        <v>58</v>
      </c>
      <c r="K7" s="1" t="s">
        <v>59</v>
      </c>
      <c r="L7" s="40"/>
      <c r="M7" s="40"/>
      <c r="N7" s="40"/>
      <c r="O7" s="40"/>
      <c r="P7" s="1" t="s">
        <v>58</v>
      </c>
      <c r="Q7" s="1" t="s">
        <v>59</v>
      </c>
    </row>
    <row r="8" spans="2:17" ht="16.5">
      <c r="B8" s="2">
        <v>1</v>
      </c>
      <c r="C8" s="2" t="s">
        <v>4</v>
      </c>
      <c r="D8" s="3"/>
      <c r="E8" s="2"/>
      <c r="F8" s="4"/>
      <c r="G8" s="5"/>
      <c r="H8" s="4"/>
      <c r="I8" s="5"/>
      <c r="J8" s="4"/>
      <c r="K8" s="5"/>
      <c r="L8" s="20"/>
      <c r="M8" s="20"/>
      <c r="N8" s="20"/>
      <c r="O8" s="20"/>
      <c r="P8" s="4"/>
      <c r="Q8" s="5"/>
    </row>
    <row r="9" spans="2:17" ht="22.5" customHeight="1">
      <c r="B9" s="6" t="s">
        <v>37</v>
      </c>
      <c r="C9" s="7" t="s">
        <v>5</v>
      </c>
      <c r="D9" s="8" t="s">
        <v>6</v>
      </c>
      <c r="E9" s="9">
        <v>1</v>
      </c>
      <c r="F9" s="15">
        <v>5850000</v>
      </c>
      <c r="G9" s="14">
        <f>$E9*F9</f>
        <v>5850000</v>
      </c>
      <c r="H9" s="15">
        <v>6000000</v>
      </c>
      <c r="I9" s="14">
        <f>$E9*H9</f>
        <v>6000000</v>
      </c>
      <c r="J9" s="15">
        <v>8000000</v>
      </c>
      <c r="K9" s="14">
        <f>$E9*J9</f>
        <v>8000000</v>
      </c>
      <c r="L9" s="23">
        <f>MIN(F9,H9,J9)</f>
        <v>5850000</v>
      </c>
      <c r="M9" s="23">
        <f>STDEVA(F9,H9,J9)</f>
        <v>1200347.1720020571</v>
      </c>
      <c r="N9" s="23">
        <f>MEDIAN(F9,H9,J9)</f>
        <v>6000000</v>
      </c>
      <c r="O9" s="30">
        <f>M9/N9</f>
        <v>0.20005786200034284</v>
      </c>
      <c r="P9" s="15">
        <f>ROUND(IF(O9&gt;=$N$40,AVERAGE(L9,N9),AVERAGE(F9,H9,J9)),0)</f>
        <v>5925000</v>
      </c>
      <c r="Q9" s="14">
        <f>$E9*P9</f>
        <v>5925000</v>
      </c>
    </row>
    <row r="10" spans="2:17" ht="16.5">
      <c r="B10" s="2">
        <v>2</v>
      </c>
      <c r="C10" s="2" t="s">
        <v>7</v>
      </c>
      <c r="D10" s="3"/>
      <c r="E10" s="2"/>
      <c r="F10" s="4"/>
      <c r="G10" s="5"/>
      <c r="H10" s="4"/>
      <c r="I10" s="5"/>
      <c r="J10" s="4"/>
      <c r="K10" s="5"/>
      <c r="L10" s="20"/>
      <c r="M10" s="29"/>
      <c r="N10" s="29"/>
      <c r="O10" s="20"/>
      <c r="P10" s="4"/>
      <c r="Q10" s="5"/>
    </row>
    <row r="11" spans="2:17" ht="22.5" customHeight="1">
      <c r="B11" s="6" t="s">
        <v>38</v>
      </c>
      <c r="C11" s="10" t="s">
        <v>8</v>
      </c>
      <c r="D11" s="8" t="s">
        <v>6</v>
      </c>
      <c r="E11" s="9">
        <v>9</v>
      </c>
      <c r="F11" s="15">
        <v>87500</v>
      </c>
      <c r="G11" s="14">
        <f>$E11*F11</f>
        <v>787500</v>
      </c>
      <c r="H11" s="15">
        <v>70000</v>
      </c>
      <c r="I11" s="14">
        <f>$E11*H11</f>
        <v>630000</v>
      </c>
      <c r="J11" s="15">
        <v>74100</v>
      </c>
      <c r="K11" s="14">
        <f>$E11*J11</f>
        <v>666900</v>
      </c>
      <c r="L11" s="23">
        <f>MIN(F11,H11,J11)</f>
        <v>70000</v>
      </c>
      <c r="M11" s="23">
        <f>STDEVA(F11,H11,J11)</f>
        <v>9152.595260361948</v>
      </c>
      <c r="N11" s="23">
        <f>MEDIAN(F11,H11,J11)</f>
        <v>74100</v>
      </c>
      <c r="O11" s="30">
        <f>M11/N11</f>
        <v>0.12351680513308971</v>
      </c>
      <c r="P11" s="15">
        <f>ROUND(IF(O11&gt;=$N$40,AVERAGE(L11,N11),AVERAGE(F11,H11,J11)),0)</f>
        <v>77200</v>
      </c>
      <c r="Q11" s="14">
        <f>$E11*P11</f>
        <v>694800</v>
      </c>
    </row>
    <row r="12" spans="2:17" ht="38.25" customHeight="1">
      <c r="B12" s="6" t="s">
        <v>39</v>
      </c>
      <c r="C12" s="10" t="s">
        <v>9</v>
      </c>
      <c r="D12" s="11" t="s">
        <v>6</v>
      </c>
      <c r="E12" s="9">
        <v>9</v>
      </c>
      <c r="F12" s="15">
        <v>143500</v>
      </c>
      <c r="G12" s="14">
        <f t="shared" ref="G12:G32" si="0">$E12*F12</f>
        <v>1291500</v>
      </c>
      <c r="H12" s="15">
        <v>115000</v>
      </c>
      <c r="I12" s="14">
        <f t="shared" ref="I12" si="1">$E12*H12</f>
        <v>1035000</v>
      </c>
      <c r="J12" s="15">
        <v>165300</v>
      </c>
      <c r="K12" s="14">
        <f t="shared" ref="K12" si="2">$E12*J12</f>
        <v>1487700</v>
      </c>
      <c r="L12" s="23">
        <f t="shared" ref="L12:L19" si="3">MIN(F12,H12,J12)</f>
        <v>115000</v>
      </c>
      <c r="M12" s="23">
        <f t="shared" ref="M12:M19" si="4">STDEVA(F12,H12,J12)</f>
        <v>25224.260808462397</v>
      </c>
      <c r="N12" s="23">
        <f t="shared" ref="N12:N19" si="5">MEDIAN(F12,H12,J12)</f>
        <v>143500</v>
      </c>
      <c r="O12" s="30">
        <f t="shared" ref="O12:O19" si="6">M12/N12</f>
        <v>0.17577882096489475</v>
      </c>
      <c r="P12" s="15">
        <f t="shared" ref="P12:P19" si="7">ROUND(IF(O12&gt;=$N$40,AVERAGE(L12,N12),AVERAGE(F12,H12,J12)),0)</f>
        <v>129250</v>
      </c>
      <c r="Q12" s="14">
        <f t="shared" ref="Q12:Q19" si="8">$E12*P12</f>
        <v>1163250</v>
      </c>
    </row>
    <row r="13" spans="2:17" ht="35.25" customHeight="1">
      <c r="B13" s="6" t="s">
        <v>40</v>
      </c>
      <c r="C13" s="10" t="s">
        <v>10</v>
      </c>
      <c r="D13" s="8" t="s">
        <v>6</v>
      </c>
      <c r="E13" s="9">
        <f>21*4+2</f>
        <v>86</v>
      </c>
      <c r="F13" s="15">
        <v>18600</v>
      </c>
      <c r="G13" s="14">
        <f t="shared" si="0"/>
        <v>1599600</v>
      </c>
      <c r="H13" s="15">
        <v>16000</v>
      </c>
      <c r="I13" s="14">
        <f t="shared" ref="I13" si="9">$E13*H13</f>
        <v>1376000</v>
      </c>
      <c r="J13" s="15">
        <v>17100</v>
      </c>
      <c r="K13" s="14">
        <f t="shared" ref="K13" si="10">$E13*J13</f>
        <v>1470600</v>
      </c>
      <c r="L13" s="23">
        <f t="shared" si="3"/>
        <v>16000</v>
      </c>
      <c r="M13" s="23">
        <f t="shared" si="4"/>
        <v>1305.1181300301262</v>
      </c>
      <c r="N13" s="23">
        <f t="shared" si="5"/>
        <v>17100</v>
      </c>
      <c r="O13" s="30">
        <f t="shared" si="6"/>
        <v>7.6322697662580472E-2</v>
      </c>
      <c r="P13" s="15">
        <f t="shared" si="7"/>
        <v>17233</v>
      </c>
      <c r="Q13" s="14">
        <f t="shared" si="8"/>
        <v>1482038</v>
      </c>
    </row>
    <row r="14" spans="2:17" ht="26.1" customHeight="1">
      <c r="B14" s="6" t="s">
        <v>41</v>
      </c>
      <c r="C14" s="10" t="s">
        <v>11</v>
      </c>
      <c r="D14" s="8" t="s">
        <v>6</v>
      </c>
      <c r="E14" s="9">
        <f>11*4+2</f>
        <v>46</v>
      </c>
      <c r="F14" s="15">
        <v>25000</v>
      </c>
      <c r="G14" s="14">
        <f t="shared" si="0"/>
        <v>1150000</v>
      </c>
      <c r="H14" s="15">
        <v>15000</v>
      </c>
      <c r="I14" s="14">
        <f t="shared" ref="I14" si="11">$E14*H14</f>
        <v>690000</v>
      </c>
      <c r="J14" s="15">
        <v>17100</v>
      </c>
      <c r="K14" s="14">
        <f t="shared" ref="K14" si="12">$E14*J14</f>
        <v>786600</v>
      </c>
      <c r="L14" s="23">
        <f t="shared" si="3"/>
        <v>15000</v>
      </c>
      <c r="M14" s="23">
        <f t="shared" si="4"/>
        <v>5272.8866224614931</v>
      </c>
      <c r="N14" s="23">
        <f t="shared" si="5"/>
        <v>17100</v>
      </c>
      <c r="O14" s="30">
        <f t="shared" si="6"/>
        <v>0.30835594283400547</v>
      </c>
      <c r="P14" s="15">
        <f t="shared" si="7"/>
        <v>16050</v>
      </c>
      <c r="Q14" s="14">
        <f t="shared" si="8"/>
        <v>738300</v>
      </c>
    </row>
    <row r="15" spans="2:17" ht="34.5" customHeight="1">
      <c r="B15" s="6" t="s">
        <v>42</v>
      </c>
      <c r="C15" s="10" t="s">
        <v>12</v>
      </c>
      <c r="D15" s="8" t="s">
        <v>6</v>
      </c>
      <c r="E15" s="9">
        <f>+E13+16</f>
        <v>102</v>
      </c>
      <c r="F15" s="15">
        <v>13200</v>
      </c>
      <c r="G15" s="14">
        <f t="shared" si="0"/>
        <v>1346400</v>
      </c>
      <c r="H15" s="15">
        <v>13000</v>
      </c>
      <c r="I15" s="14">
        <f t="shared" ref="I15" si="13">$E15*H15</f>
        <v>1326000</v>
      </c>
      <c r="J15" s="15">
        <v>17100</v>
      </c>
      <c r="K15" s="14">
        <f t="shared" ref="K15" si="14">$E15*J15</f>
        <v>1744200</v>
      </c>
      <c r="L15" s="23">
        <f t="shared" si="3"/>
        <v>13000</v>
      </c>
      <c r="M15" s="23">
        <f t="shared" si="4"/>
        <v>2311.5651263447703</v>
      </c>
      <c r="N15" s="23">
        <f t="shared" si="5"/>
        <v>13200</v>
      </c>
      <c r="O15" s="30">
        <f t="shared" si="6"/>
        <v>0.1751185701776341</v>
      </c>
      <c r="P15" s="15">
        <f t="shared" si="7"/>
        <v>13100</v>
      </c>
      <c r="Q15" s="14">
        <f t="shared" si="8"/>
        <v>1336200</v>
      </c>
    </row>
    <row r="16" spans="2:17" ht="51.75" customHeight="1">
      <c r="B16" s="6" t="s">
        <v>43</v>
      </c>
      <c r="C16" s="10" t="s">
        <v>13</v>
      </c>
      <c r="D16" s="8" t="s">
        <v>6</v>
      </c>
      <c r="E16" s="9">
        <f>+E13</f>
        <v>86</v>
      </c>
      <c r="F16" s="15">
        <v>65360</v>
      </c>
      <c r="G16" s="14">
        <f t="shared" si="0"/>
        <v>5620960</v>
      </c>
      <c r="H16" s="15">
        <v>56000</v>
      </c>
      <c r="I16" s="14">
        <f t="shared" ref="I16" si="15">$E16*H16</f>
        <v>4816000</v>
      </c>
      <c r="J16" s="15">
        <v>79800</v>
      </c>
      <c r="K16" s="14">
        <f t="shared" ref="K16" si="16">$E16*J16</f>
        <v>6862800</v>
      </c>
      <c r="L16" s="23">
        <f t="shared" si="3"/>
        <v>56000</v>
      </c>
      <c r="M16" s="23">
        <f t="shared" si="4"/>
        <v>11990.01807060077</v>
      </c>
      <c r="N16" s="23">
        <f t="shared" si="5"/>
        <v>65360</v>
      </c>
      <c r="O16" s="30">
        <f t="shared" si="6"/>
        <v>0.18344580891372048</v>
      </c>
      <c r="P16" s="15">
        <f t="shared" si="7"/>
        <v>60680</v>
      </c>
      <c r="Q16" s="14">
        <f t="shared" si="8"/>
        <v>5218480</v>
      </c>
    </row>
    <row r="17" spans="2:17" ht="37.5" customHeight="1">
      <c r="B17" s="6" t="s">
        <v>44</v>
      </c>
      <c r="C17" s="10" t="s">
        <v>14</v>
      </c>
      <c r="D17" s="8" t="s">
        <v>15</v>
      </c>
      <c r="E17" s="9">
        <f>40*4</f>
        <v>160</v>
      </c>
      <c r="F17" s="15">
        <v>85365</v>
      </c>
      <c r="G17" s="14">
        <f t="shared" si="0"/>
        <v>13658400</v>
      </c>
      <c r="H17" s="15">
        <v>75000</v>
      </c>
      <c r="I17" s="14">
        <f t="shared" ref="I17" si="17">$E17*H17</f>
        <v>12000000</v>
      </c>
      <c r="J17" s="15">
        <v>79800</v>
      </c>
      <c r="K17" s="14">
        <f t="shared" ref="K17" si="18">$E17*J17</f>
        <v>12768000</v>
      </c>
      <c r="L17" s="23">
        <f t="shared" si="3"/>
        <v>75000</v>
      </c>
      <c r="M17" s="23">
        <f t="shared" si="4"/>
        <v>5187.2030035463231</v>
      </c>
      <c r="N17" s="23">
        <f t="shared" si="5"/>
        <v>79800</v>
      </c>
      <c r="O17" s="30">
        <f t="shared" si="6"/>
        <v>6.5002543904089258E-2</v>
      </c>
      <c r="P17" s="15">
        <f t="shared" si="7"/>
        <v>80055</v>
      </c>
      <c r="Q17" s="14">
        <f t="shared" si="8"/>
        <v>12808800</v>
      </c>
    </row>
    <row r="18" spans="2:17" ht="50.25" customHeight="1">
      <c r="B18" s="6" t="s">
        <v>45</v>
      </c>
      <c r="C18" s="10" t="s">
        <v>16</v>
      </c>
      <c r="D18" s="8" t="s">
        <v>15</v>
      </c>
      <c r="E18" s="9">
        <v>80</v>
      </c>
      <c r="F18" s="15">
        <v>92140</v>
      </c>
      <c r="G18" s="14">
        <f t="shared" si="0"/>
        <v>7371200</v>
      </c>
      <c r="H18" s="15">
        <v>75000</v>
      </c>
      <c r="I18" s="14">
        <f t="shared" ref="I18" si="19">$E18*H18</f>
        <v>6000000</v>
      </c>
      <c r="J18" s="15">
        <v>85499.999999999985</v>
      </c>
      <c r="K18" s="14">
        <f t="shared" ref="K18" si="20">$E18*J18</f>
        <v>6839999.9999999991</v>
      </c>
      <c r="L18" s="23">
        <f t="shared" si="3"/>
        <v>75000</v>
      </c>
      <c r="M18" s="23">
        <f t="shared" si="4"/>
        <v>8642.1370813782687</v>
      </c>
      <c r="N18" s="23">
        <f t="shared" si="5"/>
        <v>85499.999999999985</v>
      </c>
      <c r="O18" s="30">
        <f t="shared" si="6"/>
        <v>0.10107762668278679</v>
      </c>
      <c r="P18" s="15">
        <f t="shared" si="7"/>
        <v>84213</v>
      </c>
      <c r="Q18" s="14">
        <f t="shared" si="8"/>
        <v>6737040</v>
      </c>
    </row>
    <row r="19" spans="2:17" ht="47.25">
      <c r="B19" s="6" t="s">
        <v>46</v>
      </c>
      <c r="C19" s="10" t="s">
        <v>17</v>
      </c>
      <c r="D19" s="8" t="s">
        <v>15</v>
      </c>
      <c r="E19" s="9">
        <v>10</v>
      </c>
      <c r="F19" s="15">
        <v>50000</v>
      </c>
      <c r="G19" s="14">
        <f t="shared" si="0"/>
        <v>500000</v>
      </c>
      <c r="H19" s="15">
        <v>50000</v>
      </c>
      <c r="I19" s="14">
        <f t="shared" ref="I19" si="21">$E19*H19</f>
        <v>500000</v>
      </c>
      <c r="J19" s="15">
        <v>54719.999999999993</v>
      </c>
      <c r="K19" s="14">
        <f t="shared" ref="K19" si="22">$E19*J19</f>
        <v>547199.99999999988</v>
      </c>
      <c r="L19" s="23">
        <f t="shared" si="3"/>
        <v>50000</v>
      </c>
      <c r="M19" s="23">
        <f t="shared" si="4"/>
        <v>2725.0932705750292</v>
      </c>
      <c r="N19" s="23">
        <f t="shared" si="5"/>
        <v>50000</v>
      </c>
      <c r="O19" s="30">
        <f t="shared" si="6"/>
        <v>5.4501865411500587E-2</v>
      </c>
      <c r="P19" s="15">
        <f t="shared" si="7"/>
        <v>51573</v>
      </c>
      <c r="Q19" s="14">
        <f t="shared" si="8"/>
        <v>515730</v>
      </c>
    </row>
    <row r="20" spans="2:17" ht="16.5">
      <c r="B20" s="2">
        <v>3</v>
      </c>
      <c r="C20" s="2" t="s">
        <v>18</v>
      </c>
      <c r="D20" s="3"/>
      <c r="E20" s="2"/>
      <c r="F20" s="4"/>
      <c r="G20" s="4"/>
      <c r="H20" s="4"/>
      <c r="I20" s="4"/>
      <c r="J20" s="4">
        <v>0</v>
      </c>
      <c r="K20" s="4"/>
      <c r="L20" s="20"/>
      <c r="M20" s="29"/>
      <c r="N20" s="29"/>
      <c r="O20" s="20"/>
      <c r="P20" s="4"/>
      <c r="Q20" s="4"/>
    </row>
    <row r="21" spans="2:17" ht="31.5">
      <c r="B21" s="6" t="s">
        <v>47</v>
      </c>
      <c r="C21" s="10" t="s">
        <v>19</v>
      </c>
      <c r="D21" s="8" t="s">
        <v>6</v>
      </c>
      <c r="E21" s="9">
        <v>1</v>
      </c>
      <c r="F21" s="15">
        <v>1450000</v>
      </c>
      <c r="G21" s="14">
        <f t="shared" si="0"/>
        <v>1450000</v>
      </c>
      <c r="H21" s="15">
        <v>1135000</v>
      </c>
      <c r="I21" s="14">
        <f t="shared" ref="I21" si="23">$E21*H21</f>
        <v>1135000</v>
      </c>
      <c r="J21" s="15">
        <v>1293900</v>
      </c>
      <c r="K21" s="14">
        <f t="shared" ref="K21" si="24">$E21*J21</f>
        <v>1293900</v>
      </c>
      <c r="L21" s="23">
        <f>MIN(F21,H21,J21)</f>
        <v>1135000</v>
      </c>
      <c r="M21" s="23">
        <f>STDEVA(F21,H21,J21)</f>
        <v>157502.0740604178</v>
      </c>
      <c r="N21" s="23">
        <f>MEDIAN(F21,H21,J21)</f>
        <v>1293900</v>
      </c>
      <c r="O21" s="30">
        <f>M21/N21</f>
        <v>0.1217266203419258</v>
      </c>
      <c r="P21" s="15">
        <f>ROUND(IF(O21&gt;=$N$40,AVERAGE(L21,N21),AVERAGE(F21,H21,J21)),0)</f>
        <v>1292967</v>
      </c>
      <c r="Q21" s="14">
        <f t="shared" ref="Q21:Q25" si="25">$E21*P21</f>
        <v>1292967</v>
      </c>
    </row>
    <row r="22" spans="2:17" ht="31.5">
      <c r="B22" s="6" t="s">
        <v>48</v>
      </c>
      <c r="C22" s="10" t="s">
        <v>20</v>
      </c>
      <c r="D22" s="8" t="s">
        <v>6</v>
      </c>
      <c r="E22" s="9">
        <f>4+2+1+3+4</f>
        <v>14</v>
      </c>
      <c r="F22" s="15">
        <v>20000</v>
      </c>
      <c r="G22" s="14">
        <f t="shared" si="0"/>
        <v>280000</v>
      </c>
      <c r="H22" s="15">
        <v>45000</v>
      </c>
      <c r="I22" s="14">
        <f t="shared" ref="I22" si="26">$E22*H22</f>
        <v>630000</v>
      </c>
      <c r="J22" s="15">
        <v>39900</v>
      </c>
      <c r="K22" s="14">
        <f t="shared" ref="K22" si="27">$E22*J22</f>
        <v>558600</v>
      </c>
      <c r="L22" s="23">
        <f t="shared" ref="L22:L25" si="28">MIN(F22,H22,J22)</f>
        <v>20000</v>
      </c>
      <c r="M22" s="23">
        <f t="shared" ref="M22:M25" si="29">STDEVA(F22,H22,J22)</f>
        <v>13209.970981547736</v>
      </c>
      <c r="N22" s="23">
        <f t="shared" ref="N22:N25" si="30">MEDIAN(F22,H22,J22)</f>
        <v>39900</v>
      </c>
      <c r="O22" s="30">
        <f t="shared" ref="O22:O25" si="31">M22/N22</f>
        <v>0.33107696695608363</v>
      </c>
      <c r="P22" s="15">
        <f t="shared" ref="P22:P25" si="32">ROUND(IF(O22&gt;=$N$40,AVERAGE(L22,N22),AVERAGE(F22,H22,J22)),0)</f>
        <v>29950</v>
      </c>
      <c r="Q22" s="14">
        <f t="shared" si="25"/>
        <v>419300</v>
      </c>
    </row>
    <row r="23" spans="2:17">
      <c r="B23" s="6" t="s">
        <v>49</v>
      </c>
      <c r="C23" s="10" t="s">
        <v>21</v>
      </c>
      <c r="D23" s="8" t="s">
        <v>6</v>
      </c>
      <c r="E23" s="9">
        <f>+(42+45)*4</f>
        <v>348</v>
      </c>
      <c r="F23" s="15">
        <v>2200</v>
      </c>
      <c r="G23" s="14">
        <f t="shared" si="0"/>
        <v>765600</v>
      </c>
      <c r="H23" s="15">
        <v>2400</v>
      </c>
      <c r="I23" s="14">
        <f t="shared" ref="I23" si="33">$E23*H23</f>
        <v>835200</v>
      </c>
      <c r="J23" s="15">
        <v>2849.9999999999995</v>
      </c>
      <c r="K23" s="14">
        <f t="shared" ref="K23" si="34">$E23*J23</f>
        <v>991799.99999999988</v>
      </c>
      <c r="L23" s="23">
        <f t="shared" si="28"/>
        <v>2200</v>
      </c>
      <c r="M23" s="23">
        <f t="shared" si="29"/>
        <v>332.91640592396777</v>
      </c>
      <c r="N23" s="23">
        <f t="shared" si="30"/>
        <v>2400</v>
      </c>
      <c r="O23" s="30">
        <f t="shared" si="31"/>
        <v>0.13871516913498658</v>
      </c>
      <c r="P23" s="15">
        <f t="shared" si="32"/>
        <v>2483</v>
      </c>
      <c r="Q23" s="14">
        <f t="shared" si="25"/>
        <v>864084</v>
      </c>
    </row>
    <row r="24" spans="2:17">
      <c r="B24" s="6" t="s">
        <v>50</v>
      </c>
      <c r="C24" s="10" t="s">
        <v>22</v>
      </c>
      <c r="D24" s="8" t="s">
        <v>6</v>
      </c>
      <c r="E24" s="9">
        <v>4</v>
      </c>
      <c r="F24" s="15">
        <v>415800</v>
      </c>
      <c r="G24" s="14">
        <f t="shared" si="0"/>
        <v>1663200</v>
      </c>
      <c r="H24" s="15">
        <v>539000</v>
      </c>
      <c r="I24" s="14">
        <f t="shared" ref="I24" si="35">$E24*H24</f>
        <v>2156000</v>
      </c>
      <c r="J24" s="15">
        <v>648660</v>
      </c>
      <c r="K24" s="14">
        <f t="shared" ref="K24" si="36">$E24*J24</f>
        <v>2594640</v>
      </c>
      <c r="L24" s="23">
        <f t="shared" si="28"/>
        <v>415800</v>
      </c>
      <c r="M24" s="23">
        <f t="shared" si="29"/>
        <v>116495.59018835568</v>
      </c>
      <c r="N24" s="23">
        <f t="shared" si="30"/>
        <v>539000</v>
      </c>
      <c r="O24" s="30">
        <f t="shared" si="31"/>
        <v>0.2161328203865597</v>
      </c>
      <c r="P24" s="15">
        <f t="shared" si="32"/>
        <v>477400</v>
      </c>
      <c r="Q24" s="14">
        <f t="shared" si="25"/>
        <v>1909600</v>
      </c>
    </row>
    <row r="25" spans="2:17" ht="31.5">
      <c r="B25" s="6" t="s">
        <v>51</v>
      </c>
      <c r="C25" s="10" t="s">
        <v>23</v>
      </c>
      <c r="D25" s="8" t="s">
        <v>6</v>
      </c>
      <c r="E25" s="9">
        <v>6</v>
      </c>
      <c r="F25" s="15">
        <v>198000</v>
      </c>
      <c r="G25" s="14">
        <f t="shared" si="0"/>
        <v>1188000</v>
      </c>
      <c r="H25" s="15">
        <v>245000</v>
      </c>
      <c r="I25" s="14">
        <f t="shared" ref="I25" si="37">$E25*H25</f>
        <v>1470000</v>
      </c>
      <c r="J25" s="15">
        <v>285000</v>
      </c>
      <c r="K25" s="14">
        <f t="shared" ref="K25" si="38">$E25*J25</f>
        <v>1710000</v>
      </c>
      <c r="L25" s="23">
        <f t="shared" si="28"/>
        <v>198000</v>
      </c>
      <c r="M25" s="23">
        <f t="shared" si="29"/>
        <v>43546.90957270479</v>
      </c>
      <c r="N25" s="23">
        <f t="shared" si="30"/>
        <v>245000</v>
      </c>
      <c r="O25" s="30">
        <f t="shared" si="31"/>
        <v>0.17774248805185627</v>
      </c>
      <c r="P25" s="15">
        <f t="shared" si="32"/>
        <v>221500</v>
      </c>
      <c r="Q25" s="14">
        <f t="shared" si="25"/>
        <v>1329000</v>
      </c>
    </row>
    <row r="26" spans="2:17" ht="16.5">
      <c r="B26" s="12">
        <v>4</v>
      </c>
      <c r="C26" s="2" t="s">
        <v>24</v>
      </c>
      <c r="D26" s="3"/>
      <c r="E26" s="2"/>
      <c r="F26" s="5"/>
      <c r="G26" s="13"/>
      <c r="H26" s="5"/>
      <c r="I26" s="13"/>
      <c r="J26" s="5">
        <v>0</v>
      </c>
      <c r="K26" s="13"/>
      <c r="L26" s="20"/>
      <c r="M26" s="29"/>
      <c r="N26" s="29"/>
      <c r="O26" s="20"/>
      <c r="P26" s="5"/>
      <c r="Q26" s="13"/>
    </row>
    <row r="27" spans="2:17" ht="32.25" customHeight="1">
      <c r="B27" s="6" t="s">
        <v>52</v>
      </c>
      <c r="C27" s="10" t="s">
        <v>25</v>
      </c>
      <c r="D27" s="8" t="s">
        <v>6</v>
      </c>
      <c r="E27" s="9">
        <v>4</v>
      </c>
      <c r="F27" s="15">
        <v>1250000</v>
      </c>
      <c r="G27" s="14">
        <f t="shared" si="0"/>
        <v>5000000</v>
      </c>
      <c r="H27" s="15">
        <v>1050000</v>
      </c>
      <c r="I27" s="14">
        <f t="shared" ref="I27" si="39">$E27*H27</f>
        <v>4200000</v>
      </c>
      <c r="J27" s="15">
        <v>1424999.9999999998</v>
      </c>
      <c r="K27" s="14">
        <f t="shared" ref="K27" si="40">$E27*J27</f>
        <v>5699999.9999999991</v>
      </c>
      <c r="L27" s="23">
        <f>MIN(F27,H27,J27)</f>
        <v>1050000</v>
      </c>
      <c r="M27" s="23">
        <f>STDEVA(F27,H27,J27)</f>
        <v>187638.83748662751</v>
      </c>
      <c r="N27" s="23">
        <f>MEDIAN(F27,H27,J27)</f>
        <v>1250000</v>
      </c>
      <c r="O27" s="30">
        <f>M27/N27</f>
        <v>0.15011106998930202</v>
      </c>
      <c r="P27" s="15">
        <f>ROUND(IF(O27&gt;=$N$40,AVERAGE(L27,N27),AVERAGE(F27,H27,J27)),0)</f>
        <v>1150000</v>
      </c>
      <c r="Q27" s="14">
        <f t="shared" ref="Q27:Q32" si="41">$E27*P27</f>
        <v>4600000</v>
      </c>
    </row>
    <row r="28" spans="2:17" ht="35.25" customHeight="1">
      <c r="B28" s="6" t="s">
        <v>53</v>
      </c>
      <c r="C28" s="10" t="s">
        <v>26</v>
      </c>
      <c r="D28" s="8" t="s">
        <v>6</v>
      </c>
      <c r="E28" s="9">
        <v>1</v>
      </c>
      <c r="F28" s="15">
        <v>1250000</v>
      </c>
      <c r="G28" s="14">
        <f t="shared" si="0"/>
        <v>1250000</v>
      </c>
      <c r="H28" s="15">
        <v>1110000</v>
      </c>
      <c r="I28" s="14">
        <f t="shared" ref="I28" si="42">$E28*H28</f>
        <v>1110000</v>
      </c>
      <c r="J28" s="15">
        <v>1481999.9999999998</v>
      </c>
      <c r="K28" s="14">
        <f t="shared" ref="K28" si="43">$E28*J28</f>
        <v>1481999.9999999998</v>
      </c>
      <c r="L28" s="23">
        <f t="shared" ref="L28:L32" si="44">MIN(F28,H28,J28)</f>
        <v>1110000</v>
      </c>
      <c r="M28" s="23">
        <f t="shared" ref="M28:M32" si="45">STDEVA(F28,H28,J28)</f>
        <v>187886.490555689</v>
      </c>
      <c r="N28" s="23">
        <f t="shared" ref="N28:N32" si="46">MEDIAN(F28,H28,J28)</f>
        <v>1250000</v>
      </c>
      <c r="O28" s="30">
        <f t="shared" ref="O28:O32" si="47">M28/N28</f>
        <v>0.15030919244455121</v>
      </c>
      <c r="P28" s="15">
        <f t="shared" ref="P28:P32" si="48">ROUND(IF(O28&gt;=$N$40,AVERAGE(L28,N28),AVERAGE(F28,H28,J28)),0)</f>
        <v>1180000</v>
      </c>
      <c r="Q28" s="14">
        <f t="shared" si="41"/>
        <v>1180000</v>
      </c>
    </row>
    <row r="29" spans="2:17" ht="34.5" customHeight="1">
      <c r="B29" s="6" t="s">
        <v>54</v>
      </c>
      <c r="C29" s="10" t="s">
        <v>27</v>
      </c>
      <c r="D29" s="8" t="s">
        <v>6</v>
      </c>
      <c r="E29" s="9">
        <v>1</v>
      </c>
      <c r="F29" s="15">
        <v>5155000</v>
      </c>
      <c r="G29" s="14">
        <f t="shared" si="0"/>
        <v>5155000</v>
      </c>
      <c r="H29" s="15">
        <v>5350000</v>
      </c>
      <c r="I29" s="14">
        <f t="shared" ref="I29" si="49">$E29*H29</f>
        <v>5350000</v>
      </c>
      <c r="J29" s="15">
        <v>6098999.9999999991</v>
      </c>
      <c r="K29" s="14">
        <f t="shared" ref="K29" si="50">$E29*J29</f>
        <v>6098999.9999999991</v>
      </c>
      <c r="L29" s="23">
        <f t="shared" si="44"/>
        <v>5155000</v>
      </c>
      <c r="M29" s="23">
        <f t="shared" si="45"/>
        <v>498357.63597373804</v>
      </c>
      <c r="N29" s="23">
        <f t="shared" si="46"/>
        <v>5350000</v>
      </c>
      <c r="O29" s="30">
        <f t="shared" si="47"/>
        <v>9.3150959995091223E-2</v>
      </c>
      <c r="P29" s="15">
        <f t="shared" si="48"/>
        <v>5534667</v>
      </c>
      <c r="Q29" s="14">
        <f t="shared" si="41"/>
        <v>5534667</v>
      </c>
    </row>
    <row r="30" spans="2:17" ht="33" customHeight="1">
      <c r="B30" s="6" t="s">
        <v>55</v>
      </c>
      <c r="C30" s="10" t="s">
        <v>28</v>
      </c>
      <c r="D30" s="8" t="s">
        <v>6</v>
      </c>
      <c r="E30" s="9">
        <v>4</v>
      </c>
      <c r="F30" s="15">
        <v>569000</v>
      </c>
      <c r="G30" s="14">
        <f t="shared" si="0"/>
        <v>2276000</v>
      </c>
      <c r="H30" s="15">
        <v>539000</v>
      </c>
      <c r="I30" s="14">
        <f t="shared" ref="I30" si="51">$E30*H30</f>
        <v>2156000</v>
      </c>
      <c r="J30" s="15">
        <v>648660</v>
      </c>
      <c r="K30" s="14">
        <f t="shared" ref="K30" si="52">$E30*J30</f>
        <v>2594640</v>
      </c>
      <c r="L30" s="23">
        <f t="shared" si="44"/>
        <v>539000</v>
      </c>
      <c r="M30" s="23">
        <f t="shared" si="45"/>
        <v>56673.084734583957</v>
      </c>
      <c r="N30" s="23">
        <f t="shared" si="46"/>
        <v>569000</v>
      </c>
      <c r="O30" s="30">
        <f t="shared" si="47"/>
        <v>9.9601203399971805E-2</v>
      </c>
      <c r="P30" s="15">
        <f t="shared" si="48"/>
        <v>585553</v>
      </c>
      <c r="Q30" s="14">
        <f t="shared" si="41"/>
        <v>2342212</v>
      </c>
    </row>
    <row r="31" spans="2:17" ht="31.5" customHeight="1">
      <c r="B31" s="6" t="s">
        <v>56</v>
      </c>
      <c r="C31" s="10" t="s">
        <v>29</v>
      </c>
      <c r="D31" s="8" t="s">
        <v>6</v>
      </c>
      <c r="E31" s="9">
        <v>3</v>
      </c>
      <c r="F31" s="15">
        <v>1245000</v>
      </c>
      <c r="G31" s="14">
        <f t="shared" si="0"/>
        <v>3735000</v>
      </c>
      <c r="H31" s="15">
        <v>1020000</v>
      </c>
      <c r="I31" s="14">
        <f t="shared" ref="I31" si="53">$E31*H31</f>
        <v>3060000</v>
      </c>
      <c r="J31" s="15">
        <v>1162800</v>
      </c>
      <c r="K31" s="14">
        <f t="shared" ref="K31" si="54">$E31*J31</f>
        <v>3488400</v>
      </c>
      <c r="L31" s="23">
        <f t="shared" si="44"/>
        <v>1020000</v>
      </c>
      <c r="M31" s="23">
        <f t="shared" si="45"/>
        <v>113852.00920493234</v>
      </c>
      <c r="N31" s="23">
        <f t="shared" si="46"/>
        <v>1162800</v>
      </c>
      <c r="O31" s="30">
        <f t="shared" si="47"/>
        <v>9.7911944620684851E-2</v>
      </c>
      <c r="P31" s="15">
        <f t="shared" si="48"/>
        <v>1142600</v>
      </c>
      <c r="Q31" s="14">
        <f t="shared" si="41"/>
        <v>3427800</v>
      </c>
    </row>
    <row r="32" spans="2:17" ht="34.5" customHeight="1">
      <c r="B32" s="6" t="s">
        <v>57</v>
      </c>
      <c r="C32" s="10" t="s">
        <v>30</v>
      </c>
      <c r="D32" s="8" t="s">
        <v>6</v>
      </c>
      <c r="E32" s="9">
        <v>1</v>
      </c>
      <c r="F32" s="15">
        <v>10200000</v>
      </c>
      <c r="G32" s="14">
        <f t="shared" si="0"/>
        <v>10200000</v>
      </c>
      <c r="H32" s="15">
        <v>12855000</v>
      </c>
      <c r="I32" s="14">
        <f t="shared" ref="I32" si="55">$E32*H32</f>
        <v>12855000</v>
      </c>
      <c r="J32" s="15">
        <v>12374699.999999998</v>
      </c>
      <c r="K32" s="14">
        <f t="shared" ref="K32" si="56">$E32*J32</f>
        <v>12374699.999999998</v>
      </c>
      <c r="L32" s="23">
        <f t="shared" si="44"/>
        <v>10200000</v>
      </c>
      <c r="M32" s="23">
        <f t="shared" si="45"/>
        <v>1414745.7474754958</v>
      </c>
      <c r="N32" s="23">
        <f t="shared" si="46"/>
        <v>12374699.999999998</v>
      </c>
      <c r="O32" s="30">
        <f t="shared" si="47"/>
        <v>0.11432566021604532</v>
      </c>
      <c r="P32" s="15">
        <f t="shared" si="48"/>
        <v>11809900</v>
      </c>
      <c r="Q32" s="14">
        <f t="shared" si="41"/>
        <v>11809900</v>
      </c>
    </row>
    <row r="33" spans="2:17" ht="20.25" customHeight="1">
      <c r="B33" s="48" t="s">
        <v>31</v>
      </c>
      <c r="C33" s="49"/>
      <c r="D33" s="49"/>
      <c r="E33" s="50"/>
      <c r="F33" s="16"/>
      <c r="G33" s="17">
        <f>G9+SUM(G11:G19)+SUM(G21:G25)+SUM(G27:G32)</f>
        <v>72138360</v>
      </c>
      <c r="H33" s="16"/>
      <c r="I33" s="17">
        <f>I9+SUM(I11:I19)+SUM(I21:I25)+SUM(I27:I32)</f>
        <v>69330200</v>
      </c>
      <c r="J33" s="16"/>
      <c r="K33" s="17">
        <f>K9+SUM(K11:K19)+SUM(K21:K25)+SUM(K27:K32)</f>
        <v>80061680</v>
      </c>
      <c r="L33" s="20"/>
      <c r="M33" s="20"/>
      <c r="N33" s="20"/>
      <c r="O33" s="20"/>
      <c r="P33" s="16"/>
      <c r="Q33" s="17">
        <f>Q9+SUM(Q11:Q19)+SUM(Q21:Q25)+SUM(Q27:Q32)</f>
        <v>71329168</v>
      </c>
    </row>
    <row r="34" spans="2:17" ht="20.25">
      <c r="B34" s="21"/>
      <c r="C34" s="46" t="s">
        <v>32</v>
      </c>
      <c r="D34" s="46"/>
      <c r="E34" s="46"/>
      <c r="F34" s="22">
        <v>0.12</v>
      </c>
      <c r="G34" s="23">
        <f>G$33*F34</f>
        <v>8656603.1999999993</v>
      </c>
      <c r="H34" s="22">
        <v>0.1</v>
      </c>
      <c r="I34" s="23">
        <f>I$33*H34</f>
        <v>6933020</v>
      </c>
      <c r="J34" s="22">
        <v>0.1</v>
      </c>
      <c r="K34" s="23">
        <f>K$33*J34</f>
        <v>8006168</v>
      </c>
      <c r="L34" s="24">
        <f>MIN(F34,H34,J34)</f>
        <v>0.1</v>
      </c>
      <c r="M34" s="30">
        <f>STDEVA(F34,H34,J34)</f>
        <v>1.1547005383792509E-2</v>
      </c>
      <c r="N34" s="24">
        <f>MEDIAN(F34,H34,J34)</f>
        <v>0.1</v>
      </c>
      <c r="O34" s="31">
        <f>M34/N34</f>
        <v>0.11547005383792508</v>
      </c>
      <c r="P34" s="34">
        <f>ROUND(IF(O34&gt;=$N$40,AVERAGE(L34,N34),AVERAGE(F34,H34,J34)),2)</f>
        <v>0.11</v>
      </c>
      <c r="Q34" s="23">
        <f>ROUND(Q$33*P34,0)</f>
        <v>7846208</v>
      </c>
    </row>
    <row r="35" spans="2:17" ht="20.25">
      <c r="B35" s="21"/>
      <c r="C35" s="46" t="s">
        <v>33</v>
      </c>
      <c r="D35" s="46"/>
      <c r="E35" s="46"/>
      <c r="F35" s="22">
        <v>0.02</v>
      </c>
      <c r="G35" s="23">
        <f>G$33*F35</f>
        <v>1442767.2</v>
      </c>
      <c r="H35" s="22">
        <v>0.06</v>
      </c>
      <c r="I35" s="23">
        <f>I$33*H35</f>
        <v>4159812</v>
      </c>
      <c r="J35" s="22">
        <v>0.06</v>
      </c>
      <c r="K35" s="23">
        <f>K$33*J35</f>
        <v>4803700.8</v>
      </c>
      <c r="L35" s="24">
        <f t="shared" ref="L35:L36" si="57">MIN(F35,H35,J35)</f>
        <v>0.02</v>
      </c>
      <c r="M35" s="30">
        <f t="shared" ref="M35:M36" si="58">STDEVA(F35,H35,J35)</f>
        <v>2.3094010767585018E-2</v>
      </c>
      <c r="N35" s="24">
        <f t="shared" ref="N35:N36" si="59">MEDIAN(F35,H35,J35)</f>
        <v>0.06</v>
      </c>
      <c r="O35" s="31">
        <f t="shared" ref="O35:O36" si="60">M35/N35</f>
        <v>0.3849001794597503</v>
      </c>
      <c r="P35" s="34">
        <f t="shared" ref="P35:P36" si="61">ROUND(IF(O35&gt;=$N$40,AVERAGE(L35,N35),AVERAGE(F35,H35,J35)),2)</f>
        <v>0.04</v>
      </c>
      <c r="Q35" s="23">
        <f>ROUND(Q$33*P35,0)</f>
        <v>2853167</v>
      </c>
    </row>
    <row r="36" spans="2:17" ht="20.25">
      <c r="B36" s="21"/>
      <c r="C36" s="46" t="s">
        <v>34</v>
      </c>
      <c r="D36" s="46"/>
      <c r="E36" s="46"/>
      <c r="F36" s="22">
        <v>7.0000000000000007E-2</v>
      </c>
      <c r="G36" s="23">
        <f>G$33*F36</f>
        <v>5049685.2</v>
      </c>
      <c r="H36" s="22">
        <v>0.1</v>
      </c>
      <c r="I36" s="23">
        <f>I$33*H36</f>
        <v>6933020</v>
      </c>
      <c r="J36" s="22">
        <v>0.1</v>
      </c>
      <c r="K36" s="23">
        <f>K$33*J36</f>
        <v>8006168</v>
      </c>
      <c r="L36" s="24">
        <f t="shared" si="57"/>
        <v>7.0000000000000007E-2</v>
      </c>
      <c r="M36" s="30">
        <f t="shared" si="58"/>
        <v>1.7320508075688822E-2</v>
      </c>
      <c r="N36" s="24">
        <f t="shared" si="59"/>
        <v>0.1</v>
      </c>
      <c r="O36" s="31">
        <f t="shared" si="60"/>
        <v>0.1732050807568882</v>
      </c>
      <c r="P36" s="34">
        <f t="shared" si="61"/>
        <v>0.09</v>
      </c>
      <c r="Q36" s="23">
        <f>ROUND(Q$33*P36,0)</f>
        <v>6419625</v>
      </c>
    </row>
    <row r="37" spans="2:17" ht="20.25">
      <c r="B37" s="21"/>
      <c r="C37" s="46" t="s">
        <v>35</v>
      </c>
      <c r="D37" s="46"/>
      <c r="E37" s="46"/>
      <c r="F37" s="24">
        <v>0.19</v>
      </c>
      <c r="G37" s="25">
        <f>G36*F37</f>
        <v>959440.18800000008</v>
      </c>
      <c r="H37" s="24">
        <v>0.19</v>
      </c>
      <c r="I37" s="25">
        <f>I36*H37</f>
        <v>1317273.8</v>
      </c>
      <c r="J37" s="24">
        <v>0.19</v>
      </c>
      <c r="K37" s="25">
        <f>K36*J37</f>
        <v>1521171.92</v>
      </c>
      <c r="L37" s="24"/>
      <c r="M37" s="19"/>
      <c r="N37" s="19"/>
      <c r="O37" s="19"/>
      <c r="P37" s="24">
        <v>0.19</v>
      </c>
      <c r="Q37" s="25">
        <f>ROUND(Q36*P37,0)</f>
        <v>1219729</v>
      </c>
    </row>
    <row r="38" spans="2:17" ht="20.25">
      <c r="B38" s="26"/>
      <c r="C38" s="47" t="s">
        <v>36</v>
      </c>
      <c r="D38" s="47"/>
      <c r="E38" s="47"/>
      <c r="F38" s="43">
        <f>SUM(G33:G37)</f>
        <v>88246855.788000003</v>
      </c>
      <c r="G38" s="44"/>
      <c r="H38" s="43">
        <f>SUM(I33:I37)</f>
        <v>88673325.799999997</v>
      </c>
      <c r="I38" s="44"/>
      <c r="J38" s="43">
        <f>SUM(K33:K37)</f>
        <v>102398888.72</v>
      </c>
      <c r="K38" s="44"/>
      <c r="L38" s="27"/>
      <c r="M38" s="27"/>
      <c r="N38" s="27"/>
      <c r="O38" s="27"/>
      <c r="P38" s="45">
        <f>SUM(Q33:Q37)</f>
        <v>89667897</v>
      </c>
      <c r="Q38" s="45"/>
    </row>
    <row r="39" spans="2:17">
      <c r="G39" s="28"/>
    </row>
    <row r="40" spans="2:17" ht="16.5">
      <c r="M40" s="33" t="s">
        <v>68</v>
      </c>
      <c r="N40" s="37">
        <v>0.15</v>
      </c>
      <c r="O40" s="32" t="s">
        <v>69</v>
      </c>
      <c r="Q40" s="35">
        <f>P38/1116000</f>
        <v>80.347577956989241</v>
      </c>
    </row>
    <row r="41" spans="2:17" ht="16.5">
      <c r="M41" s="33" t="s">
        <v>70</v>
      </c>
      <c r="N41" s="38"/>
      <c r="O41" s="32" t="s">
        <v>71</v>
      </c>
      <c r="Q41" s="36" t="s">
        <v>73</v>
      </c>
    </row>
  </sheetData>
  <mergeCells count="24">
    <mergeCell ref="F6:G6"/>
    <mergeCell ref="B33:E33"/>
    <mergeCell ref="C34:E34"/>
    <mergeCell ref="C35:E35"/>
    <mergeCell ref="B6:B7"/>
    <mergeCell ref="C6:C7"/>
    <mergeCell ref="D6:D7"/>
    <mergeCell ref="E6:E7"/>
    <mergeCell ref="N40:N41"/>
    <mergeCell ref="B5:Q5"/>
    <mergeCell ref="L6:L7"/>
    <mergeCell ref="M6:M7"/>
    <mergeCell ref="N6:N7"/>
    <mergeCell ref="O6:O7"/>
    <mergeCell ref="H6:I6"/>
    <mergeCell ref="H38:I38"/>
    <mergeCell ref="J6:K6"/>
    <mergeCell ref="J38:K38"/>
    <mergeCell ref="P6:Q6"/>
    <mergeCell ref="P38:Q38"/>
    <mergeCell ref="C36:E36"/>
    <mergeCell ref="C37:E37"/>
    <mergeCell ref="C38:E38"/>
    <mergeCell ref="F38:G38"/>
  </mergeCells>
  <conditionalFormatting sqref="O9 O11:O19 O21:O25 O27:O32 O34:O36">
    <cfRule type="cellIs" dxfId="0" priority="1" operator="greaterThan">
      <formula>$N$40</formula>
    </cfRule>
  </conditionalFormatting>
  <pageMargins left="0.7" right="0.7" top="0.75" bottom="0.75" header="0.3" footer="0.3"/>
  <pageSetup orientation="portrait" horizontalDpi="4294967294" verticalDpi="4294967294" r:id="rId1"/>
  <ignoredErrors>
    <ignoredError sqref="P9 P11:P19 P21:P25 P27:P32 P34:P36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USUARIO</cp:lastModifiedBy>
  <dcterms:created xsi:type="dcterms:W3CDTF">2023-06-06T13:25:43Z</dcterms:created>
  <dcterms:modified xsi:type="dcterms:W3CDTF">2023-07-06T17:20:28Z</dcterms:modified>
</cp:coreProperties>
</file>