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UAESP\2023\ESTUDIOS PREVIOS\8. AGOSTO\INT IDESC AC - ALC\"/>
    </mc:Choice>
  </mc:AlternateContent>
  <xr:revisionPtr revIDLastSave="0" documentId="13_ncr:1_{189758D7-1B09-45B7-B686-3E27449C0B15}" xr6:coauthVersionLast="47" xr6:coauthVersionMax="47" xr10:uidLastSave="{00000000-0000-0000-0000-000000000000}"/>
  <bookViews>
    <workbookView xWindow="-120" yWindow="330" windowWidth="20730" windowHeight="11310" xr2:uid="{644BD4A7-8805-4650-8A06-4392E08F0AF2}"/>
  </bookViews>
  <sheets>
    <sheet name="PRESUPUESTO INTERVENTORIA" sheetId="1" r:id="rId1"/>
    <sheet name="JUSTIFICACION" sheetId="2" r:id="rId2"/>
    <sheet name="DOC REFERENCI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1" l="1"/>
  <c r="F24" i="2"/>
  <c r="E24" i="2"/>
  <c r="G35" i="1"/>
  <c r="G36" i="1"/>
  <c r="G37" i="1"/>
  <c r="G34" i="1"/>
  <c r="E30" i="2"/>
  <c r="F30" i="2"/>
  <c r="E28" i="2"/>
  <c r="F29" i="2"/>
  <c r="E29" i="2"/>
  <c r="F28" i="2"/>
  <c r="G7" i="1" l="1"/>
  <c r="F7" i="1"/>
  <c r="L8" i="2" l="1"/>
  <c r="L7" i="2"/>
  <c r="E25" i="2" l="1"/>
  <c r="E31" i="2"/>
  <c r="D30" i="2"/>
  <c r="F31" i="2"/>
  <c r="F25" i="2"/>
  <c r="D25" i="2" s="1"/>
  <c r="D24" i="2"/>
  <c r="E20" i="2"/>
  <c r="E11" i="2"/>
  <c r="F14" i="2"/>
  <c r="E16" i="2"/>
  <c r="F8" i="2"/>
  <c r="F9" i="2"/>
  <c r="F5" i="2"/>
  <c r="F20" i="2"/>
  <c r="F11" i="2"/>
  <c r="E8" i="2"/>
  <c r="F7" i="2"/>
  <c r="E6" i="2"/>
  <c r="E18" i="2"/>
  <c r="E14" i="2"/>
  <c r="F19" i="2"/>
  <c r="F10" i="2"/>
  <c r="E7" i="2"/>
  <c r="F15" i="2"/>
  <c r="E17" i="2"/>
  <c r="E19" i="2"/>
  <c r="E10" i="2"/>
  <c r="F6" i="2"/>
  <c r="F18" i="2"/>
  <c r="E9" i="2"/>
  <c r="D9" i="2" s="1"/>
  <c r="F17" i="2"/>
  <c r="E15" i="2"/>
  <c r="F16" i="2"/>
  <c r="E5" i="2"/>
  <c r="D29" i="2" l="1"/>
  <c r="D31" i="2"/>
  <c r="D28" i="2"/>
  <c r="D10" i="2"/>
  <c r="D11" i="2"/>
  <c r="D7" i="2"/>
  <c r="D20" i="2"/>
  <c r="D6" i="2"/>
  <c r="D5" i="2"/>
  <c r="D17" i="2"/>
  <c r="D8" i="2"/>
  <c r="D15" i="2"/>
  <c r="D19" i="2"/>
  <c r="D16" i="2"/>
  <c r="D18" i="2"/>
  <c r="D14" i="2"/>
  <c r="F8" i="1" l="1"/>
  <c r="G8" i="1" s="1"/>
  <c r="F9" i="1"/>
  <c r="G9" i="1" s="1"/>
  <c r="F10" i="1"/>
  <c r="G10" i="1" s="1"/>
  <c r="F11" i="1"/>
  <c r="G11" i="1" s="1"/>
  <c r="F13" i="1"/>
  <c r="G13" i="1" s="1"/>
  <c r="F12" i="1"/>
  <c r="G12" i="1" s="1"/>
  <c r="G14" i="1" l="1"/>
  <c r="F17" i="1"/>
  <c r="G17" i="1" s="1"/>
  <c r="F18" i="1"/>
  <c r="G18" i="1" s="1"/>
  <c r="F20" i="1"/>
  <c r="G20" i="1" s="1"/>
  <c r="F21" i="1"/>
  <c r="G21" i="1" s="1"/>
  <c r="F19" i="1"/>
  <c r="G19" i="1"/>
  <c r="F22" i="1"/>
  <c r="G22" i="1" s="1"/>
  <c r="F23" i="1"/>
  <c r="G23" i="1" s="1"/>
  <c r="G24" i="1" l="1"/>
  <c r="G25" i="1" s="1"/>
  <c r="F29" i="1" l="1"/>
  <c r="G29" i="1" s="1"/>
  <c r="F30" i="1"/>
  <c r="G30" i="1" s="1"/>
  <c r="G31" i="1" l="1"/>
  <c r="G39" i="1" l="1"/>
  <c r="G40" i="1" s="1"/>
  <c r="F37" i="1"/>
  <c r="F36" i="1"/>
  <c r="F34" i="1"/>
  <c r="F35" i="1"/>
</calcChain>
</file>

<file path=xl/sharedStrings.xml><?xml version="1.0" encoding="utf-8"?>
<sst xmlns="http://schemas.openxmlformats.org/spreadsheetml/2006/main" count="156" uniqueCount="71">
  <si>
    <t>ALCALDÍA DE SANTIAGO DE CALI</t>
  </si>
  <si>
    <t xml:space="preserve">UNIDAD ADMINISTRATIVA ESPECIAL DE SERVICIOS PUBLICOS </t>
  </si>
  <si>
    <t>UAESP</t>
  </si>
  <si>
    <t>TOTAL</t>
  </si>
  <si>
    <t>ITEM</t>
  </si>
  <si>
    <t>DESCRIPCION</t>
  </si>
  <si>
    <t>VALOR TOTAL</t>
  </si>
  <si>
    <t>Ortofomosaico de area de influencia del proyecto. (HA)</t>
  </si>
  <si>
    <t>ENTIDAD DE REFETENCIA</t>
  </si>
  <si>
    <t>ANI</t>
  </si>
  <si>
    <t>IDU</t>
  </si>
  <si>
    <t>Promedio</t>
  </si>
  <si>
    <t>PERSONAL</t>
  </si>
  <si>
    <t>60 meses</t>
  </si>
  <si>
    <t xml:space="preserve">Profesional Especializado </t>
  </si>
  <si>
    <t xml:space="preserve">Profesional </t>
  </si>
  <si>
    <t>1.1.2.2</t>
  </si>
  <si>
    <t>1.1.2.3</t>
  </si>
  <si>
    <t>1.1.2.4</t>
  </si>
  <si>
    <t>1.1.2.5</t>
  </si>
  <si>
    <t>1.1.2.6</t>
  </si>
  <si>
    <t>1.1.2.7</t>
  </si>
  <si>
    <t>VALOR UNT.</t>
  </si>
  <si>
    <t>IVA (19%)</t>
  </si>
  <si>
    <t>VALOR TECNICO</t>
  </si>
  <si>
    <t>VALOR DIRECTOR</t>
  </si>
  <si>
    <t>Catastro de redes de acueducto con apiques de verificacion cada 100 ml</t>
  </si>
  <si>
    <t>Elaboracion fichas descriptivas para todos los elementos del sistema de acueducto</t>
  </si>
  <si>
    <t>Levantamiento censo poblacional a beneficiar</t>
  </si>
  <si>
    <t>Levantamiento topografico infraestructura PTAP</t>
  </si>
  <si>
    <t>Modelo Isometrico PTAP</t>
  </si>
  <si>
    <t>Generacion de Base de Datos Geografica</t>
  </si>
  <si>
    <t>A. TOTAL INTERVENTORIA FRENTE VEREDA LA SIRENA</t>
  </si>
  <si>
    <t>1.5.1.1</t>
  </si>
  <si>
    <t>1.5.1.2</t>
  </si>
  <si>
    <t>1.5.1.3</t>
  </si>
  <si>
    <t>1.5.1.4</t>
  </si>
  <si>
    <t>1.5.1.5</t>
  </si>
  <si>
    <t>1.5.1.6</t>
  </si>
  <si>
    <t>1.5.1.7</t>
  </si>
  <si>
    <t>1.5.2.1</t>
  </si>
  <si>
    <t>B. TOTAL INTERVENTORIA FRENTE ALTO LOS MANGOS</t>
  </si>
  <si>
    <t>UND</t>
  </si>
  <si>
    <t>CANT.</t>
  </si>
  <si>
    <t>VR. UNIT</t>
  </si>
  <si>
    <t>VR. PARCIAL</t>
  </si>
  <si>
    <t>1.1.5.1</t>
  </si>
  <si>
    <t>Catastro de redes de alcantarillado con elaboración de fichas descriptivas.</t>
  </si>
  <si>
    <t>1.1.5.2</t>
  </si>
  <si>
    <t>Generación de Base de Datos Geográfica  (cumpliendo protocolos y procedimientos establecidos en la normatividad de la IDESC y el Catálogo de objetos de la UAESP para el aseguramiento de la información).</t>
  </si>
  <si>
    <t>Realizar interventoría a la implementación de la información geográfica de los acueductos y alcantarillados del suelo rural de las veredas La Sirena y Alto Los Mangos en el corregimiento La Buitrera, para el nodo de información geográfica de la UAESP, en articulación con la infraestructura de datos espaciales de Santiago de Cali (IDESC), a través de levantamientos topográficos y el inventario de los elementos definidos en el catálogo de objetos geográficos de los sistemas de acueducto y alcantarillado</t>
  </si>
  <si>
    <t>C. TOTAL INTERVENTORIA FRENTE VEREDA LA SIRENA</t>
  </si>
  <si>
    <t>Levantamiento topografico infraestructura PTAR</t>
  </si>
  <si>
    <t>Modelo Isométrico PTAR</t>
  </si>
  <si>
    <t>Generación de Base de Datos Geográfica  (cumpliendo protocolos y procedimientos establecidos en la normatividad de la IDESC y el Catálogo de objetos de la UAESP para el aseguramiento de la información)</t>
  </si>
  <si>
    <t>IVA
19%</t>
  </si>
  <si>
    <t>1.1.6.1</t>
  </si>
  <si>
    <t>1.1.6.2</t>
  </si>
  <si>
    <t>1.1.6.3</t>
  </si>
  <si>
    <t>1.1.6.4</t>
  </si>
  <si>
    <t>TOTAL COSTO INTERVENTORIA  ACUEDUCTOS (A + B)</t>
  </si>
  <si>
    <t>D. TOTAL INTERVENTORIA FRENTE ALTO LOS MANGOS</t>
  </si>
  <si>
    <t>TOTAL COSTO INTERVENTORIA  ACUEDUCTOS (C + D)</t>
  </si>
  <si>
    <t>Acueducto vereda Alto Los Mangos</t>
  </si>
  <si>
    <t>Acueducto vereda La Sirena</t>
  </si>
  <si>
    <t>Alcantarillado vereda La Sirena</t>
  </si>
  <si>
    <t>COSTO TOTAL INTERVENTORIA</t>
  </si>
  <si>
    <t>Acueducto Vereda La Sirena - Corregimiento La Buitrera</t>
  </si>
  <si>
    <t>Acueducto vereda Alto Los Mangos - Corregimiento La Buitrera</t>
  </si>
  <si>
    <t>Alcantarillado Vereda La Sirena - Corregimiento La Buitrera</t>
  </si>
  <si>
    <t xml:space="preserve"> Alcantarillado vereda Alto Los Mangos - Corregimiento La Buitrera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</si>
</sst>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_ ;_ * \-#,##0_ ;_ * &quot;-&quot;??_ ;_ @_ "/>
    <numFmt numFmtId="165" formatCode="_ * #,##0.00_ ;_ * \-#,##0.00_ ;_ * &quot;-&quot;??_ ;_ @_ "/>
    <numFmt numFmtId="166" formatCode="_-* #,##0_-;\-* #,##0_-;_-* \-??_-;_-@_-"/>
    <numFmt numFmtId="167" formatCode="_-&quot;$ &quot;* #,##0.00_-;&quot;-$ &quot;* #,##0.00_-;_-&quot;$ &quot;* \-??_-;_-@_-"/>
    <numFmt numFmtId="168" formatCode="_-&quot;$ &quot;* #,##0_-;&quot;-$ &quot;* #,##0_-;_-&quot;$ &quot;* \-??_-;_-@_-"/>
    <numFmt numFmtId="169" formatCode="_-&quot;$&quot;* #,##0.00_-;\-&quot;$&quot;* #,##0.00_-;_-&quot;$&quot;* &quot;-&quot;??_-;_-@_-"/>
    <numFmt numFmtId="170" formatCode="_-&quot;$&quot;\ * #,##0_-;\-&quot;$&quot;\ * #,##0_-;_-&quot;$&quot;\ * &quot;-&quot;??_-;_-@_-"/>
    <numFmt numFmtId="171" formatCode="_-[$$-240A]\ * #,##0_-;\-[$$-240A]\ * #,##0_-;_-[$$-240A]\ * &quot;-&quot;??_-;_-@_-"/>
    <numFmt numFmtId="172" formatCode="_-[$$-240A]\ * #,##0.00_-;\-[$$-240A]\ * #,##0.00_-;_-[$$-240A]\ * &quot;-&quot;??_-;_-@_-"/>
    <numFmt numFmtId="173" formatCode="_-* #,##0.0_-;\-* #,##0.0_-;_-* \-??_-;_-@_-"/>
    <numFmt numFmtId="176" formatCode="_-&quot;$&quot;\ * #,##0.00_-;\-&quot;$&quot;\ * #,##0.00_-;_-&quot;$&quot;\ * &quot;-&quot;??_-;_-@_-"/>
    <numFmt numFmtId="177" formatCode="_-* #,##0.00_-;\-* #,##0.00_-;_-* &quot;-&quot;??_-;_-@_-"/>
    <numFmt numFmtId="178" formatCode="_-* #,##0_-;\-* #,##0_-;_-* &quot;-&quot;??_-;_-@_-"/>
    <numFmt numFmtId="179" formatCode="_-&quot;$&quot;* #,##0_-;\-&quot;$&quot;* #,##0_-;_-&quot;$&quot;* &quot;-&quot;??_-;_-@_-"/>
  </numFmts>
  <fonts count="17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44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8" fillId="0" borderId="0"/>
    <xf numFmtId="177" fontId="3" fillId="0" borderId="0" applyFont="0" applyFill="0" applyBorder="0" applyAlignment="0" applyProtection="0"/>
    <xf numFmtId="176" fontId="3" fillId="0" borderId="0" applyFont="0" applyFill="0" applyBorder="0" applyAlignment="0" applyProtection="0"/>
  </cellStyleXfs>
  <cellXfs count="164">
    <xf numFmtId="0" fontId="0" fillId="0" borderId="0" xfId="0"/>
    <xf numFmtId="3" fontId="2" fillId="0" borderId="0" xfId="0" applyNumberFormat="1" applyFont="1" applyAlignment="1">
      <alignment horizontal="right" vertical="center" wrapText="1"/>
    </xf>
    <xf numFmtId="3" fontId="1" fillId="0" borderId="0" xfId="0" applyNumberFormat="1" applyFont="1" applyAlignment="1">
      <alignment horizontal="right" vertical="center" wrapText="1"/>
    </xf>
    <xf numFmtId="166" fontId="0" fillId="0" borderId="9" xfId="2" applyNumberFormat="1" applyFont="1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 wrapText="1"/>
    </xf>
    <xf numFmtId="172" fontId="0" fillId="0" borderId="2" xfId="1" applyNumberFormat="1" applyFont="1" applyBorder="1" applyAlignment="1">
      <alignment vertical="center"/>
    </xf>
    <xf numFmtId="44" fontId="0" fillId="0" borderId="1" xfId="0" applyNumberFormat="1" applyBorder="1" applyAlignment="1">
      <alignment vertical="center"/>
    </xf>
    <xf numFmtId="172" fontId="0" fillId="0" borderId="1" xfId="1" applyNumberFormat="1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171" fontId="0" fillId="0" borderId="1" xfId="1" applyNumberFormat="1" applyFont="1" applyBorder="1" applyAlignment="1">
      <alignment vertical="center"/>
    </xf>
    <xf numFmtId="171" fontId="0" fillId="0" borderId="0" xfId="1" applyNumberFormat="1" applyFont="1" applyBorder="1" applyAlignment="1">
      <alignment vertical="center"/>
    </xf>
    <xf numFmtId="171" fontId="0" fillId="0" borderId="0" xfId="0" applyNumberFormat="1"/>
    <xf numFmtId="44" fontId="0" fillId="0" borderId="0" xfId="1" applyFont="1"/>
    <xf numFmtId="44" fontId="0" fillId="0" borderId="0" xfId="0" applyNumberFormat="1"/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1" fontId="0" fillId="0" borderId="0" xfId="1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68" fontId="10" fillId="0" borderId="7" xfId="0" applyNumberFormat="1" applyFont="1" applyBorder="1" applyAlignment="1">
      <alignment horizontal="right" vertical="center"/>
    </xf>
    <xf numFmtId="171" fontId="10" fillId="0" borderId="1" xfId="1" applyNumberFormat="1" applyFont="1" applyBorder="1" applyAlignment="1">
      <alignment vertical="center"/>
    </xf>
    <xf numFmtId="168" fontId="10" fillId="0" borderId="1" xfId="0" applyNumberFormat="1" applyFont="1" applyBorder="1" applyAlignment="1">
      <alignment horizontal="right" vertical="center"/>
    </xf>
    <xf numFmtId="3" fontId="10" fillId="0" borderId="0" xfId="0" applyNumberFormat="1" applyFont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168" fontId="10" fillId="0" borderId="10" xfId="0" applyNumberFormat="1" applyFont="1" applyBorder="1" applyAlignment="1">
      <alignment horizontal="right" vertical="center"/>
    </xf>
    <xf numFmtId="0" fontId="7" fillId="2" borderId="3" xfId="0" applyFont="1" applyFill="1" applyBorder="1" applyAlignment="1" applyProtection="1">
      <alignment horizontal="center" vertical="center"/>
      <protection hidden="1"/>
    </xf>
    <xf numFmtId="0" fontId="7" fillId="2" borderId="4" xfId="0" applyFont="1" applyFill="1" applyBorder="1" applyAlignment="1" applyProtection="1">
      <alignment horizontal="center" vertical="center" wrapText="1"/>
      <protection hidden="1"/>
    </xf>
    <xf numFmtId="0" fontId="7" fillId="2" borderId="4" xfId="0" applyFont="1" applyFill="1" applyBorder="1" applyAlignment="1" applyProtection="1">
      <alignment horizontal="center" vertical="center"/>
      <protection hidden="1"/>
    </xf>
    <xf numFmtId="164" fontId="7" fillId="2" borderId="5" xfId="0" applyNumberFormat="1" applyFont="1" applyFill="1" applyBorder="1" applyAlignment="1" applyProtection="1">
      <alignment horizontal="center" vertical="center"/>
      <protection hidden="1"/>
    </xf>
    <xf numFmtId="171" fontId="10" fillId="0" borderId="7" xfId="1" applyNumberFormat="1" applyFont="1" applyBorder="1" applyAlignment="1">
      <alignment vertical="center"/>
    </xf>
    <xf numFmtId="168" fontId="10" fillId="0" borderId="8" xfId="0" applyNumberFormat="1" applyFont="1" applyBorder="1" applyAlignment="1">
      <alignment horizontal="right" vertical="center"/>
    </xf>
    <xf numFmtId="164" fontId="7" fillId="2" borderId="5" xfId="0" applyNumberFormat="1" applyFont="1" applyFill="1" applyBorder="1" applyAlignment="1" applyProtection="1">
      <alignment horizontal="center" vertical="center" wrapText="1"/>
      <protection hidden="1"/>
    </xf>
    <xf numFmtId="166" fontId="0" fillId="0" borderId="6" xfId="2" applyNumberFormat="1" applyFont="1" applyBorder="1" applyAlignment="1" applyProtection="1">
      <alignment horizontal="left" vertical="center"/>
    </xf>
    <xf numFmtId="171" fontId="0" fillId="0" borderId="7" xfId="1" applyNumberFormat="1" applyFont="1" applyBorder="1" applyAlignment="1">
      <alignment vertical="center"/>
    </xf>
    <xf numFmtId="171" fontId="0" fillId="0" borderId="8" xfId="1" applyNumberFormat="1" applyFont="1" applyBorder="1" applyAlignment="1">
      <alignment vertical="center"/>
    </xf>
    <xf numFmtId="171" fontId="0" fillId="0" borderId="10" xfId="1" applyNumberFormat="1" applyFont="1" applyBorder="1" applyAlignment="1">
      <alignment vertical="center"/>
    </xf>
    <xf numFmtId="0" fontId="10" fillId="0" borderId="1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justify" vertical="center" wrapText="1"/>
    </xf>
    <xf numFmtId="0" fontId="11" fillId="0" borderId="18" xfId="0" applyFont="1" applyBorder="1" applyAlignment="1">
      <alignment horizontal="justify" vertical="center" wrapText="1"/>
    </xf>
    <xf numFmtId="0" fontId="11" fillId="0" borderId="18" xfId="0" applyFont="1" applyBorder="1" applyAlignment="1">
      <alignment horizontal="justify" vertical="center"/>
    </xf>
    <xf numFmtId="0" fontId="11" fillId="3" borderId="18" xfId="0" applyFont="1" applyFill="1" applyBorder="1" applyAlignment="1">
      <alignment horizontal="justify" vertical="center"/>
    </xf>
    <xf numFmtId="173" fontId="9" fillId="0" borderId="9" xfId="2" applyNumberFormat="1" applyFont="1" applyBorder="1" applyAlignment="1" applyProtection="1">
      <alignment horizontal="right" vertical="center"/>
    </xf>
    <xf numFmtId="171" fontId="10" fillId="0" borderId="19" xfId="1" applyNumberFormat="1" applyFont="1" applyBorder="1" applyAlignment="1">
      <alignment vertical="center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/>
    </xf>
    <xf numFmtId="0" fontId="11" fillId="3" borderId="1" xfId="0" applyFont="1" applyFill="1" applyBorder="1" applyAlignment="1">
      <alignment horizontal="justify" vertical="center"/>
    </xf>
    <xf numFmtId="164" fontId="7" fillId="2" borderId="16" xfId="0" applyNumberFormat="1" applyFont="1" applyFill="1" applyBorder="1" applyAlignment="1" applyProtection="1">
      <alignment horizontal="center" vertical="center"/>
      <protection hidden="1"/>
    </xf>
    <xf numFmtId="173" fontId="9" fillId="0" borderId="20" xfId="2" applyNumberFormat="1" applyFont="1" applyBorder="1" applyAlignment="1" applyProtection="1">
      <alignment horizontal="right" vertical="center"/>
    </xf>
    <xf numFmtId="0" fontId="11" fillId="0" borderId="2" xfId="0" applyFont="1" applyBorder="1" applyAlignment="1">
      <alignment horizontal="justify" vertical="center" wrapText="1"/>
    </xf>
    <xf numFmtId="166" fontId="10" fillId="0" borderId="21" xfId="2" applyNumberFormat="1" applyFont="1" applyBorder="1" applyAlignment="1" applyProtection="1">
      <alignment vertical="center"/>
    </xf>
    <xf numFmtId="0" fontId="7" fillId="2" borderId="5" xfId="0" applyFont="1" applyFill="1" applyBorder="1" applyAlignment="1" applyProtection="1">
      <alignment horizontal="center" vertical="center"/>
      <protection hidden="1"/>
    </xf>
    <xf numFmtId="170" fontId="12" fillId="4" borderId="17" xfId="1" applyNumberFormat="1" applyFont="1" applyFill="1" applyBorder="1" applyAlignment="1">
      <alignment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179" fontId="10" fillId="0" borderId="12" xfId="5" applyNumberFormat="1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168" fontId="10" fillId="0" borderId="2" xfId="0" applyNumberFormat="1" applyFont="1" applyBorder="1" applyAlignment="1">
      <alignment horizontal="right" vertical="center"/>
    </xf>
    <xf numFmtId="168" fontId="10" fillId="0" borderId="26" xfId="0" applyNumberFormat="1" applyFont="1" applyBorder="1" applyAlignment="1">
      <alignment horizontal="right" vertical="center"/>
    </xf>
    <xf numFmtId="173" fontId="9" fillId="0" borderId="27" xfId="2" applyNumberFormat="1" applyFont="1" applyBorder="1" applyAlignment="1" applyProtection="1">
      <alignment horizontal="right" vertical="center"/>
    </xf>
    <xf numFmtId="0" fontId="11" fillId="3" borderId="28" xfId="0" applyFont="1" applyFill="1" applyBorder="1" applyAlignment="1">
      <alignment horizontal="justify" vertical="center"/>
    </xf>
    <xf numFmtId="0" fontId="10" fillId="0" borderId="28" xfId="0" applyFont="1" applyBorder="1" applyAlignment="1">
      <alignment horizontal="center" vertical="center"/>
    </xf>
    <xf numFmtId="171" fontId="10" fillId="0" borderId="24" xfId="1" applyNumberFormat="1" applyFont="1" applyBorder="1" applyAlignment="1">
      <alignment vertical="center"/>
    </xf>
    <xf numFmtId="168" fontId="10" fillId="0" borderId="28" xfId="0" applyNumberFormat="1" applyFont="1" applyBorder="1" applyAlignment="1">
      <alignment horizontal="right" vertical="center"/>
    </xf>
    <xf numFmtId="0" fontId="10" fillId="0" borderId="29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167" fontId="4" fillId="0" borderId="14" xfId="0" applyNumberFormat="1" applyFont="1" applyBorder="1" applyAlignment="1">
      <alignment horizontal="center" vertical="center" wrapText="1"/>
    </xf>
    <xf numFmtId="167" fontId="4" fillId="0" borderId="15" xfId="0" applyNumberFormat="1" applyFont="1" applyBorder="1" applyAlignment="1">
      <alignment horizontal="center" vertical="center" wrapText="1"/>
    </xf>
    <xf numFmtId="167" fontId="4" fillId="0" borderId="16" xfId="0" applyNumberFormat="1" applyFont="1" applyBorder="1" applyAlignment="1">
      <alignment horizontal="center" vertical="center" wrapText="1"/>
    </xf>
    <xf numFmtId="168" fontId="10" fillId="0" borderId="30" xfId="0" applyNumberFormat="1" applyFont="1" applyBorder="1" applyAlignment="1">
      <alignment horizontal="right" vertical="center"/>
    </xf>
    <xf numFmtId="170" fontId="12" fillId="0" borderId="23" xfId="1" applyNumberFormat="1" applyFont="1" applyBorder="1" applyAlignment="1">
      <alignment vertical="center"/>
    </xf>
    <xf numFmtId="0" fontId="5" fillId="0" borderId="3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7" fillId="2" borderId="32" xfId="0" applyFont="1" applyFill="1" applyBorder="1" applyAlignment="1" applyProtection="1">
      <alignment horizontal="center" vertical="center" wrapText="1"/>
      <protection hidden="1"/>
    </xf>
    <xf numFmtId="0" fontId="7" fillId="2" borderId="25" xfId="0" applyFont="1" applyFill="1" applyBorder="1" applyAlignment="1" applyProtection="1">
      <alignment horizontal="center" vertical="center"/>
      <protection hidden="1"/>
    </xf>
    <xf numFmtId="0" fontId="10" fillId="0" borderId="19" xfId="0" applyFont="1" applyBorder="1" applyAlignment="1">
      <alignment horizontal="center" vertical="center"/>
    </xf>
    <xf numFmtId="0" fontId="0" fillId="0" borderId="0" xfId="0"/>
    <xf numFmtId="0" fontId="11" fillId="0" borderId="7" xfId="0" applyFont="1" applyBorder="1" applyAlignment="1">
      <alignment wrapText="1"/>
    </xf>
    <xf numFmtId="0" fontId="8" fillId="3" borderId="12" xfId="0" applyFont="1" applyFill="1" applyBorder="1" applyAlignment="1">
      <alignment horizontal="justify"/>
    </xf>
    <xf numFmtId="0" fontId="10" fillId="0" borderId="24" xfId="0" applyFont="1" applyBorder="1" applyAlignment="1">
      <alignment horizontal="center" vertical="center"/>
    </xf>
    <xf numFmtId="171" fontId="10" fillId="0" borderId="28" xfId="1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8" fontId="10" fillId="0" borderId="28" xfId="7" applyNumberFormat="1" applyFont="1" applyBorder="1" applyAlignment="1">
      <alignment vertical="center"/>
    </xf>
    <xf numFmtId="178" fontId="10" fillId="0" borderId="2" xfId="7" applyNumberFormat="1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7" fillId="2" borderId="4" xfId="0" applyNumberFormat="1" applyFont="1" applyFill="1" applyBorder="1" applyAlignment="1" applyProtection="1">
      <alignment horizontal="center" vertical="center"/>
      <protection hidden="1"/>
    </xf>
    <xf numFmtId="164" fontId="7" fillId="2" borderId="5" xfId="3" applyNumberFormat="1" applyFont="1" applyFill="1" applyBorder="1" applyAlignment="1" applyProtection="1">
      <alignment horizontal="center" vertical="center" wrapText="1"/>
      <protection hidden="1"/>
    </xf>
    <xf numFmtId="168" fontId="10" fillId="0" borderId="12" xfId="0" applyNumberFormat="1" applyFont="1" applyBorder="1" applyAlignment="1">
      <alignment horizontal="right" vertical="center"/>
    </xf>
    <xf numFmtId="168" fontId="10" fillId="0" borderId="13" xfId="0" applyNumberFormat="1" applyFont="1" applyBorder="1" applyAlignment="1">
      <alignment horizontal="right" vertical="center"/>
    </xf>
    <xf numFmtId="167" fontId="4" fillId="0" borderId="3" xfId="0" applyNumberFormat="1" applyFont="1" applyBorder="1" applyAlignment="1">
      <alignment horizontal="center" vertical="center" wrapText="1"/>
    </xf>
    <xf numFmtId="167" fontId="4" fillId="0" borderId="4" xfId="0" applyNumberFormat="1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170" fontId="10" fillId="0" borderId="2" xfId="8" applyNumberFormat="1" applyFont="1" applyBorder="1" applyAlignment="1">
      <alignment vertical="center"/>
    </xf>
    <xf numFmtId="164" fontId="7" fillId="2" borderId="4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70" fontId="12" fillId="4" borderId="23" xfId="1" applyNumberFormat="1" applyFont="1" applyFill="1" applyBorder="1" applyAlignment="1">
      <alignment vertical="center"/>
    </xf>
    <xf numFmtId="179" fontId="0" fillId="0" borderId="0" xfId="0" applyNumberFormat="1"/>
    <xf numFmtId="171" fontId="10" fillId="0" borderId="7" xfId="5" applyNumberFormat="1" applyFont="1" applyBorder="1" applyAlignment="1">
      <alignment vertical="center"/>
    </xf>
    <xf numFmtId="171" fontId="0" fillId="0" borderId="33" xfId="1" applyNumberFormat="1" applyFont="1" applyBorder="1" applyAlignment="1">
      <alignment vertical="center"/>
    </xf>
    <xf numFmtId="171" fontId="0" fillId="0" borderId="13" xfId="1" applyNumberFormat="1" applyFont="1" applyBorder="1" applyAlignment="1">
      <alignment vertical="center"/>
    </xf>
    <xf numFmtId="171" fontId="0" fillId="0" borderId="32" xfId="1" applyNumberFormat="1" applyFont="1" applyBorder="1" applyAlignment="1">
      <alignment vertical="center"/>
    </xf>
    <xf numFmtId="171" fontId="0" fillId="0" borderId="12" xfId="1" applyNumberFormat="1" applyFont="1" applyBorder="1" applyAlignment="1">
      <alignment vertical="center"/>
    </xf>
    <xf numFmtId="0" fontId="0" fillId="0" borderId="0" xfId="0"/>
    <xf numFmtId="0" fontId="10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wrapText="1"/>
    </xf>
    <xf numFmtId="0" fontId="10" fillId="0" borderId="9" xfId="0" applyFont="1" applyBorder="1" applyAlignment="1">
      <alignment horizontal="left" vertical="center"/>
    </xf>
    <xf numFmtId="0" fontId="11" fillId="0" borderId="1" xfId="0" applyFont="1" applyBorder="1" applyAlignment="1">
      <alignment wrapText="1"/>
    </xf>
    <xf numFmtId="0" fontId="8" fillId="3" borderId="1" xfId="0" applyFont="1" applyFill="1" applyBorder="1" applyAlignment="1">
      <alignment horizontal="justify"/>
    </xf>
    <xf numFmtId="0" fontId="10" fillId="0" borderId="11" xfId="0" applyFont="1" applyBorder="1" applyAlignment="1">
      <alignment horizontal="left" vertical="center"/>
    </xf>
    <xf numFmtId="0" fontId="8" fillId="3" borderId="12" xfId="0" applyFont="1" applyFill="1" applyBorder="1" applyAlignment="1">
      <alignment horizontal="justify"/>
    </xf>
    <xf numFmtId="170" fontId="0" fillId="0" borderId="0" xfId="1" applyNumberFormat="1" applyFont="1"/>
    <xf numFmtId="171" fontId="10" fillId="0" borderId="1" xfId="8" applyNumberFormat="1" applyFont="1" applyBorder="1" applyAlignment="1">
      <alignment vertical="center"/>
    </xf>
    <xf numFmtId="171" fontId="10" fillId="0" borderId="28" xfId="8" applyNumberFormat="1" applyFont="1" applyBorder="1" applyAlignment="1">
      <alignment vertical="center"/>
    </xf>
    <xf numFmtId="171" fontId="10" fillId="0" borderId="2" xfId="8" applyNumberFormat="1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178" fontId="10" fillId="0" borderId="7" xfId="7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78" fontId="10" fillId="0" borderId="1" xfId="7" applyNumberFormat="1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178" fontId="10" fillId="0" borderId="12" xfId="7" applyNumberFormat="1" applyFont="1" applyBorder="1" applyAlignment="1">
      <alignment vertical="center"/>
    </xf>
    <xf numFmtId="0" fontId="15" fillId="4" borderId="14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/>
    </xf>
    <xf numFmtId="170" fontId="16" fillId="4" borderId="16" xfId="0" applyNumberFormat="1" applyFont="1" applyFill="1" applyBorder="1" applyAlignment="1">
      <alignment vertical="center"/>
    </xf>
    <xf numFmtId="0" fontId="11" fillId="0" borderId="7" xfId="0" applyFont="1" applyBorder="1" applyAlignment="1">
      <alignment vertical="center" wrapText="1"/>
    </xf>
    <xf numFmtId="0" fontId="8" fillId="3" borderId="12" xfId="0" applyFont="1" applyFill="1" applyBorder="1" applyAlignment="1">
      <alignment horizontal="justify" vertical="center"/>
    </xf>
    <xf numFmtId="0" fontId="11" fillId="0" borderId="2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8" fillId="3" borderId="1" xfId="0" applyFont="1" applyFill="1" applyBorder="1" applyAlignment="1">
      <alignment horizontal="justify" vertical="center"/>
    </xf>
    <xf numFmtId="0" fontId="8" fillId="3" borderId="28" xfId="0" applyFont="1" applyFill="1" applyBorder="1" applyAlignment="1">
      <alignment horizontal="justify" vertical="center"/>
    </xf>
    <xf numFmtId="173" fontId="9" fillId="0" borderId="1" xfId="2" applyNumberFormat="1" applyFont="1" applyBorder="1" applyAlignment="1" applyProtection="1">
      <alignment horizontal="right" vertical="center"/>
    </xf>
    <xf numFmtId="173" fontId="9" fillId="0" borderId="28" xfId="2" applyNumberFormat="1" applyFont="1" applyBorder="1" applyAlignment="1" applyProtection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28" xfId="0" applyFont="1" applyBorder="1" applyAlignment="1">
      <alignment horizontal="right" vertical="center"/>
    </xf>
    <xf numFmtId="0" fontId="0" fillId="0" borderId="0" xfId="0" applyFill="1" applyBorder="1"/>
    <xf numFmtId="170" fontId="10" fillId="0" borderId="0" xfId="8" applyNumberFormat="1" applyFont="1" applyFill="1" applyBorder="1" applyAlignment="1">
      <alignment vertical="center"/>
    </xf>
    <xf numFmtId="179" fontId="14" fillId="0" borderId="0" xfId="5" applyNumberFormat="1" applyFont="1" applyFill="1" applyBorder="1" applyAlignment="1">
      <alignment vertical="center"/>
    </xf>
  </cellXfs>
  <cellStyles count="9">
    <cellStyle name="Millares" xfId="2" builtinId="3"/>
    <cellStyle name="Millares 2" xfId="7" xr:uid="{E67FEA7D-3612-435D-92BD-DE5FAA91A6F6}"/>
    <cellStyle name="Millares 2 3 2" xfId="3" xr:uid="{F0D1ABB5-5389-48CD-873E-146A62955F31}"/>
    <cellStyle name="Moneda" xfId="1" builtinId="4"/>
    <cellStyle name="Moneda 2" xfId="8" xr:uid="{94523A69-754A-43B1-876D-2F39F3E42241}"/>
    <cellStyle name="Moneda 2 7" xfId="5" xr:uid="{BD9AEEC9-75F9-4AF3-98E5-628A505B161E}"/>
    <cellStyle name="Moneda 4 2" xfId="4" xr:uid="{58FA203F-EEED-48AE-9502-03E31791AA46}"/>
    <cellStyle name="Normal" xfId="0" builtinId="0"/>
    <cellStyle name="Normal 13 2" xfId="6" xr:uid="{A5CCB9AB-1F6B-415E-A3D6-ADD59D103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11206</xdr:rowOff>
    </xdr:from>
    <xdr:to>
      <xdr:col>1</xdr:col>
      <xdr:colOff>588818</xdr:colOff>
      <xdr:row>2</xdr:row>
      <xdr:rowOff>294409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542FFD-4978-4B60-BD81-A89BCC376E19}"/>
            </a:ext>
          </a:extLst>
        </xdr:cNvPr>
        <xdr:cNvPicPr/>
      </xdr:nvPicPr>
      <xdr:blipFill>
        <a:blip xmlns:r="http://schemas.openxmlformats.org/officeDocument/2006/relationships" r:embed="rId1"/>
        <a:srcRect t="12263" b="9541"/>
        <a:stretch/>
      </xdr:blipFill>
      <xdr:spPr>
        <a:xfrm>
          <a:off x="0" y="11206"/>
          <a:ext cx="1368136" cy="102788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522020</xdr:colOff>
      <xdr:row>0</xdr:row>
      <xdr:rowOff>34637</xdr:rowOff>
    </xdr:from>
    <xdr:to>
      <xdr:col>6</xdr:col>
      <xdr:colOff>1789183</xdr:colOff>
      <xdr:row>1</xdr:row>
      <xdr:rowOff>280108</xdr:rowOff>
    </xdr:to>
    <xdr:pic>
      <xdr:nvPicPr>
        <xdr:cNvPr id="3" name="Imagen 2" descr="Ver las imágenes de origen">
          <a:extLst>
            <a:ext uri="{FF2B5EF4-FFF2-40B4-BE49-F238E27FC236}">
              <a16:creationId xmlns:a16="http://schemas.microsoft.com/office/drawing/2014/main" id="{A083CD23-285A-427E-949D-8B3529A33F7A}"/>
            </a:ext>
          </a:extLst>
        </xdr:cNvPr>
        <xdr:cNvPicPr/>
      </xdr:nvPicPr>
      <xdr:blipFill>
        <a:blip xmlns:r="http://schemas.openxmlformats.org/officeDocument/2006/relationships" r:embed="rId2"/>
        <a:srcRect l="8850" t="24682" r="49213" b="59307"/>
        <a:stretch/>
      </xdr:blipFill>
      <xdr:spPr>
        <a:xfrm>
          <a:off x="9579429" y="34637"/>
          <a:ext cx="2254299" cy="661107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675409</xdr:colOff>
      <xdr:row>1</xdr:row>
      <xdr:rowOff>51954</xdr:rowOff>
    </xdr:from>
    <xdr:to>
      <xdr:col>6</xdr:col>
      <xdr:colOff>639667</xdr:colOff>
      <xdr:row>3</xdr:row>
      <xdr:rowOff>92369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7A1C19F-49E2-421D-9592-B5A71A559C0A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9732818" y="467590"/>
          <a:ext cx="951394" cy="698506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66000</xdr:colOff>
      <xdr:row>22</xdr:row>
      <xdr:rowOff>87107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0B1B438-5DC7-479C-8C96-CD52CF48A5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028" t="15952" r="12289" b="5588"/>
        <a:stretch/>
      </xdr:blipFill>
      <xdr:spPr>
        <a:xfrm>
          <a:off x="0" y="0"/>
          <a:ext cx="5400000" cy="4278107"/>
        </a:xfrm>
        <a:prstGeom prst="rect">
          <a:avLst/>
        </a:prstGeom>
      </xdr:spPr>
    </xdr:pic>
    <xdr:clientData/>
  </xdr:twoCellAnchor>
  <xdr:twoCellAnchor editAs="oneCell">
    <xdr:from>
      <xdr:col>8</xdr:col>
      <xdr:colOff>594881</xdr:colOff>
      <xdr:row>0</xdr:row>
      <xdr:rowOff>0</xdr:rowOff>
    </xdr:from>
    <xdr:to>
      <xdr:col>15</xdr:col>
      <xdr:colOff>673003</xdr:colOff>
      <xdr:row>33</xdr:row>
      <xdr:rowOff>13500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8C164F-F7A3-4A1E-8A13-3008D115F6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4152" t="16100" r="32231" b="14289"/>
        <a:stretch/>
      </xdr:blipFill>
      <xdr:spPr>
        <a:xfrm>
          <a:off x="6690881" y="0"/>
          <a:ext cx="5412122" cy="63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23</xdr:row>
      <xdr:rowOff>152400</xdr:rowOff>
    </xdr:from>
    <xdr:to>
      <xdr:col>7</xdr:col>
      <xdr:colOff>104100</xdr:colOff>
      <xdr:row>67</xdr:row>
      <xdr:rowOff>2925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626C4AB-E7A4-40AF-9923-7965D777AD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533900"/>
          <a:ext cx="5400000" cy="823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360220</xdr:colOff>
      <xdr:row>34</xdr:row>
      <xdr:rowOff>17319</xdr:rowOff>
    </xdr:from>
    <xdr:to>
      <xdr:col>15</xdr:col>
      <xdr:colOff>438342</xdr:colOff>
      <xdr:row>58</xdr:row>
      <xdr:rowOff>65938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83DBDB8-6AA3-4BF4-97F3-3C432E1ED5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1965" t="17047" r="26385" b="4344"/>
        <a:stretch/>
      </xdr:blipFill>
      <xdr:spPr>
        <a:xfrm>
          <a:off x="6456220" y="6494319"/>
          <a:ext cx="5412122" cy="4620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6F312-BD7A-433F-BD51-6F25D30C83C9}">
  <dimension ref="A1:I40"/>
  <sheetViews>
    <sheetView tabSelected="1" zoomScale="55" zoomScaleNormal="55" workbookViewId="0">
      <selection activeCell="B5" sqref="B5:G5"/>
    </sheetView>
  </sheetViews>
  <sheetFormatPr baseColWidth="10" defaultRowHeight="14.25" x14ac:dyDescent="0.25"/>
  <cols>
    <col min="1" max="1" width="11.5703125" style="22" bestFit="1" customWidth="1"/>
    <col min="2" max="2" width="70.140625" style="21" customWidth="1"/>
    <col min="3" max="3" width="15.140625" style="21" bestFit="1" customWidth="1"/>
    <col min="4" max="4" width="13.7109375" style="21" bestFit="1" customWidth="1"/>
    <col min="5" max="5" width="24.28515625" style="21" bestFit="1" customWidth="1"/>
    <col min="6" max="6" width="14.7109375" style="21" bestFit="1" customWidth="1"/>
    <col min="7" max="7" width="27.28515625" style="21" bestFit="1" customWidth="1"/>
    <col min="8" max="9" width="14" style="21" bestFit="1" customWidth="1"/>
    <col min="10" max="16384" width="11.42578125" style="21"/>
  </cols>
  <sheetData>
    <row r="1" spans="1:9" ht="33" customHeight="1" x14ac:dyDescent="0.25">
      <c r="B1" s="61" t="s">
        <v>0</v>
      </c>
      <c r="C1" s="61"/>
      <c r="D1" s="61"/>
      <c r="E1" s="61"/>
    </row>
    <row r="2" spans="1:9" ht="25.5" customHeight="1" x14ac:dyDescent="0.25">
      <c r="B2" s="62" t="s">
        <v>1</v>
      </c>
      <c r="C2" s="62"/>
      <c r="D2" s="62"/>
      <c r="E2" s="62"/>
    </row>
    <row r="3" spans="1:9" ht="25.5" customHeight="1" x14ac:dyDescent="0.25">
      <c r="A3" s="62" t="s">
        <v>2</v>
      </c>
      <c r="B3" s="62"/>
      <c r="C3" s="62"/>
      <c r="D3" s="62"/>
      <c r="E3" s="62"/>
    </row>
    <row r="4" spans="1:9" ht="113.25" customHeight="1" thickBot="1" x14ac:dyDescent="0.3">
      <c r="A4" s="78" t="s">
        <v>50</v>
      </c>
      <c r="B4" s="78"/>
      <c r="C4" s="78"/>
      <c r="D4" s="78"/>
      <c r="E4" s="78"/>
      <c r="F4" s="78"/>
      <c r="G4" s="78"/>
    </row>
    <row r="5" spans="1:9" ht="45.75" customHeight="1" thickBot="1" x14ac:dyDescent="0.3">
      <c r="A5" s="84"/>
      <c r="B5" s="85" t="s">
        <v>67</v>
      </c>
      <c r="C5" s="56"/>
      <c r="D5" s="56"/>
      <c r="E5" s="56"/>
      <c r="F5" s="56"/>
      <c r="G5" s="57"/>
    </row>
    <row r="6" spans="1:9" ht="24.75" customHeight="1" thickBot="1" x14ac:dyDescent="0.3">
      <c r="A6" s="29" t="s">
        <v>4</v>
      </c>
      <c r="B6" s="30" t="s">
        <v>5</v>
      </c>
      <c r="C6" s="31" t="s">
        <v>42</v>
      </c>
      <c r="D6" s="31" t="s">
        <v>43</v>
      </c>
      <c r="E6" s="31" t="s">
        <v>22</v>
      </c>
      <c r="F6" s="54" t="s">
        <v>23</v>
      </c>
      <c r="G6" s="50" t="s">
        <v>3</v>
      </c>
    </row>
    <row r="7" spans="1:9" ht="19.5" customHeight="1" x14ac:dyDescent="0.25">
      <c r="A7" s="51">
        <v>1.1000000000000001</v>
      </c>
      <c r="B7" s="52" t="s">
        <v>26</v>
      </c>
      <c r="C7" s="69" t="s">
        <v>42</v>
      </c>
      <c r="D7" s="69">
        <v>1</v>
      </c>
      <c r="E7" s="53">
        <v>3279613.3333333335</v>
      </c>
      <c r="F7" s="70">
        <f>+E7*0.19</f>
        <v>623126.53333333333</v>
      </c>
      <c r="G7" s="71">
        <f>+E7+F7</f>
        <v>3902739.8666666667</v>
      </c>
      <c r="H7" s="1"/>
      <c r="I7" s="1"/>
    </row>
    <row r="8" spans="1:9" ht="19.5" customHeight="1" x14ac:dyDescent="0.25">
      <c r="A8" s="45">
        <v>1.2</v>
      </c>
      <c r="B8" s="47" t="s">
        <v>27</v>
      </c>
      <c r="C8" s="141" t="s">
        <v>42</v>
      </c>
      <c r="D8" s="141">
        <v>1</v>
      </c>
      <c r="E8" s="46">
        <v>596293.33333333337</v>
      </c>
      <c r="F8" s="25">
        <f>+E8*0.19</f>
        <v>113295.73333333334</v>
      </c>
      <c r="G8" s="28">
        <f>+E8+F8</f>
        <v>709589.06666666665</v>
      </c>
      <c r="H8" s="2"/>
      <c r="I8" s="2"/>
    </row>
    <row r="9" spans="1:9" ht="19.5" customHeight="1" x14ac:dyDescent="0.25">
      <c r="A9" s="45">
        <v>1.3</v>
      </c>
      <c r="B9" s="48" t="s">
        <v>7</v>
      </c>
      <c r="C9" s="141" t="s">
        <v>42</v>
      </c>
      <c r="D9" s="141">
        <v>1</v>
      </c>
      <c r="E9" s="46">
        <v>1639806.6666666667</v>
      </c>
      <c r="F9" s="25">
        <f t="shared" ref="F9:F13" si="0">+E9*0.19</f>
        <v>311563.26666666666</v>
      </c>
      <c r="G9" s="28">
        <f t="shared" ref="G9:G13" si="1">+E9+F9</f>
        <v>1951369.9333333333</v>
      </c>
      <c r="I9" s="1"/>
    </row>
    <row r="10" spans="1:9" ht="19.5" customHeight="1" x14ac:dyDescent="0.25">
      <c r="A10" s="45">
        <v>1.4</v>
      </c>
      <c r="B10" s="48" t="s">
        <v>28</v>
      </c>
      <c r="C10" s="141" t="s">
        <v>42</v>
      </c>
      <c r="D10" s="141">
        <v>1</v>
      </c>
      <c r="E10" s="46">
        <v>8049960</v>
      </c>
      <c r="F10" s="25">
        <f t="shared" si="0"/>
        <v>1529492.4</v>
      </c>
      <c r="G10" s="28">
        <f t="shared" si="1"/>
        <v>9579452.4000000004</v>
      </c>
      <c r="I10" s="26"/>
    </row>
    <row r="11" spans="1:9" ht="19.5" customHeight="1" x14ac:dyDescent="0.25">
      <c r="A11" s="45">
        <v>1.5</v>
      </c>
      <c r="B11" s="47" t="s">
        <v>29</v>
      </c>
      <c r="C11" s="141" t="s">
        <v>42</v>
      </c>
      <c r="D11" s="141">
        <v>1</v>
      </c>
      <c r="E11" s="46">
        <v>409951.66666666669</v>
      </c>
      <c r="F11" s="25">
        <f t="shared" si="0"/>
        <v>77890.816666666666</v>
      </c>
      <c r="G11" s="28">
        <f t="shared" si="1"/>
        <v>487842.48333333334</v>
      </c>
    </row>
    <row r="12" spans="1:9" ht="19.5" customHeight="1" x14ac:dyDescent="0.25">
      <c r="A12" s="45">
        <v>1.6</v>
      </c>
      <c r="B12" s="49" t="s">
        <v>30</v>
      </c>
      <c r="C12" s="141" t="s">
        <v>42</v>
      </c>
      <c r="D12" s="141">
        <v>1</v>
      </c>
      <c r="E12" s="46">
        <v>3130540</v>
      </c>
      <c r="F12" s="25">
        <f t="shared" si="0"/>
        <v>594802.6</v>
      </c>
      <c r="G12" s="28">
        <f t="shared" si="1"/>
        <v>3725342.6</v>
      </c>
    </row>
    <row r="13" spans="1:9" ht="19.5" customHeight="1" thickBot="1" x14ac:dyDescent="0.3">
      <c r="A13" s="72">
        <v>1.7</v>
      </c>
      <c r="B13" s="73" t="s">
        <v>31</v>
      </c>
      <c r="C13" s="74" t="s">
        <v>42</v>
      </c>
      <c r="D13" s="74">
        <v>1</v>
      </c>
      <c r="E13" s="75">
        <v>818700</v>
      </c>
      <c r="F13" s="76">
        <f t="shared" si="0"/>
        <v>155553</v>
      </c>
      <c r="G13" s="82">
        <f t="shared" si="1"/>
        <v>974253</v>
      </c>
    </row>
    <row r="14" spans="1:9" ht="30.75" customHeight="1" thickBot="1" x14ac:dyDescent="0.3">
      <c r="A14" s="79" t="s">
        <v>32</v>
      </c>
      <c r="B14" s="80"/>
      <c r="C14" s="80"/>
      <c r="D14" s="80"/>
      <c r="E14" s="80"/>
      <c r="F14" s="81"/>
      <c r="G14" s="83">
        <f>SUM(G7:G13)</f>
        <v>21330589.350000001</v>
      </c>
    </row>
    <row r="15" spans="1:9" ht="36.75" customHeight="1" thickBot="1" x14ac:dyDescent="0.3">
      <c r="A15" s="77"/>
      <c r="B15" s="56" t="s">
        <v>68</v>
      </c>
      <c r="C15" s="56"/>
      <c r="D15" s="56"/>
      <c r="E15" s="56"/>
      <c r="F15" s="56"/>
      <c r="G15" s="56"/>
    </row>
    <row r="16" spans="1:9" ht="30" customHeight="1" thickBot="1" x14ac:dyDescent="0.3">
      <c r="A16" s="87" t="s">
        <v>4</v>
      </c>
      <c r="B16" s="86" t="s">
        <v>5</v>
      </c>
      <c r="C16" s="30" t="s">
        <v>42</v>
      </c>
      <c r="D16" s="30" t="s">
        <v>43</v>
      </c>
      <c r="E16" s="31" t="s">
        <v>22</v>
      </c>
      <c r="F16" s="31" t="s">
        <v>23</v>
      </c>
      <c r="G16" s="32" t="s">
        <v>3</v>
      </c>
    </row>
    <row r="17" spans="1:7" ht="20.25" customHeight="1" x14ac:dyDescent="0.25">
      <c r="A17" s="154">
        <v>2.1</v>
      </c>
      <c r="B17" s="47" t="s">
        <v>26</v>
      </c>
      <c r="C17" s="88" t="s">
        <v>42</v>
      </c>
      <c r="D17" s="141">
        <v>1</v>
      </c>
      <c r="E17" s="33">
        <v>2288172.8060666667</v>
      </c>
      <c r="F17" s="23">
        <f t="shared" ref="F17:F23" si="2">+E17*0.19</f>
        <v>434752.83315266669</v>
      </c>
      <c r="G17" s="34">
        <f t="shared" ref="G17:G23" si="3">+E17+F17</f>
        <v>2722925.6392193334</v>
      </c>
    </row>
    <row r="18" spans="1:7" ht="20.25" customHeight="1" x14ac:dyDescent="0.25">
      <c r="A18" s="154">
        <v>2.2000000000000002</v>
      </c>
      <c r="B18" s="47" t="s">
        <v>27</v>
      </c>
      <c r="C18" s="88" t="s">
        <v>42</v>
      </c>
      <c r="D18" s="141">
        <v>1</v>
      </c>
      <c r="E18" s="24">
        <v>447220</v>
      </c>
      <c r="F18" s="25">
        <f t="shared" si="2"/>
        <v>84971.8</v>
      </c>
      <c r="G18" s="28">
        <f t="shared" si="3"/>
        <v>532191.80000000005</v>
      </c>
    </row>
    <row r="19" spans="1:7" ht="20.25" customHeight="1" x14ac:dyDescent="0.25">
      <c r="A19" s="154">
        <v>2.2999999999999998</v>
      </c>
      <c r="B19" s="48" t="s">
        <v>7</v>
      </c>
      <c r="C19" s="88" t="s">
        <v>42</v>
      </c>
      <c r="D19" s="141">
        <v>1</v>
      </c>
      <c r="E19" s="24">
        <v>1639806.6666666667</v>
      </c>
      <c r="F19" s="25">
        <f t="shared" si="2"/>
        <v>311563.26666666666</v>
      </c>
      <c r="G19" s="28">
        <f t="shared" si="3"/>
        <v>1951369.9333333333</v>
      </c>
    </row>
    <row r="20" spans="1:7" ht="20.25" customHeight="1" x14ac:dyDescent="0.25">
      <c r="A20" s="154">
        <v>2.4</v>
      </c>
      <c r="B20" s="48" t="s">
        <v>28</v>
      </c>
      <c r="C20" s="88" t="s">
        <v>42</v>
      </c>
      <c r="D20" s="141">
        <v>1</v>
      </c>
      <c r="E20" s="24">
        <v>6261080</v>
      </c>
      <c r="F20" s="25">
        <f t="shared" si="2"/>
        <v>1189605.2</v>
      </c>
      <c r="G20" s="28">
        <f t="shared" si="3"/>
        <v>7450685.2000000002</v>
      </c>
    </row>
    <row r="21" spans="1:7" ht="20.25" customHeight="1" x14ac:dyDescent="0.25">
      <c r="A21" s="154">
        <v>2.5</v>
      </c>
      <c r="B21" s="47" t="s">
        <v>29</v>
      </c>
      <c r="C21" s="88" t="s">
        <v>42</v>
      </c>
      <c r="D21" s="141">
        <v>1</v>
      </c>
      <c r="E21" s="24">
        <v>409951.66666666669</v>
      </c>
      <c r="F21" s="25">
        <f t="shared" si="2"/>
        <v>77890.816666666666</v>
      </c>
      <c r="G21" s="28">
        <f t="shared" si="3"/>
        <v>487842.48333333334</v>
      </c>
    </row>
    <row r="22" spans="1:7" ht="20.25" customHeight="1" x14ac:dyDescent="0.25">
      <c r="A22" s="154">
        <v>2.6</v>
      </c>
      <c r="B22" s="49" t="s">
        <v>30</v>
      </c>
      <c r="C22" s="88" t="s">
        <v>42</v>
      </c>
      <c r="D22" s="141">
        <v>1</v>
      </c>
      <c r="E22" s="24">
        <v>3130540</v>
      </c>
      <c r="F22" s="25">
        <f t="shared" si="2"/>
        <v>594802.6</v>
      </c>
      <c r="G22" s="28">
        <f t="shared" si="3"/>
        <v>3725342.6</v>
      </c>
    </row>
    <row r="23" spans="1:7" ht="20.25" customHeight="1" thickBot="1" x14ac:dyDescent="0.3">
      <c r="A23" s="155">
        <v>2.7</v>
      </c>
      <c r="B23" s="73" t="s">
        <v>31</v>
      </c>
      <c r="C23" s="92" t="s">
        <v>42</v>
      </c>
      <c r="D23" s="74">
        <v>1</v>
      </c>
      <c r="E23" s="93">
        <v>818700</v>
      </c>
      <c r="F23" s="76">
        <f t="shared" si="2"/>
        <v>155553</v>
      </c>
      <c r="G23" s="82">
        <f t="shared" si="3"/>
        <v>974253</v>
      </c>
    </row>
    <row r="24" spans="1:7" ht="30.75" customHeight="1" thickBot="1" x14ac:dyDescent="0.3">
      <c r="A24" s="94" t="s">
        <v>41</v>
      </c>
      <c r="B24" s="95"/>
      <c r="C24" s="95"/>
      <c r="D24" s="95"/>
      <c r="E24" s="95"/>
      <c r="F24" s="96"/>
      <c r="G24" s="83">
        <f>SUM(G17:G23)</f>
        <v>17844610.655885998</v>
      </c>
    </row>
    <row r="25" spans="1:7" ht="39.75" customHeight="1" thickBot="1" x14ac:dyDescent="0.3">
      <c r="A25" s="58" t="s">
        <v>60</v>
      </c>
      <c r="B25" s="59"/>
      <c r="C25" s="59"/>
      <c r="D25" s="59"/>
      <c r="E25" s="59"/>
      <c r="F25" s="60"/>
      <c r="G25" s="55">
        <f>+G14+G24</f>
        <v>39175200.005886003</v>
      </c>
    </row>
    <row r="26" spans="1:7" ht="15" thickBot="1" x14ac:dyDescent="0.3"/>
    <row r="27" spans="1:7" ht="33" customHeight="1" thickBot="1" x14ac:dyDescent="0.3">
      <c r="A27" s="99" t="s">
        <v>69</v>
      </c>
      <c r="B27" s="100"/>
      <c r="C27" s="100"/>
      <c r="D27" s="100"/>
      <c r="E27" s="100"/>
      <c r="F27" s="100"/>
      <c r="G27" s="101"/>
    </row>
    <row r="28" spans="1:7" ht="27" customHeight="1" thickBot="1" x14ac:dyDescent="0.3">
      <c r="A28" s="29" t="s">
        <v>4</v>
      </c>
      <c r="B28" s="30" t="s">
        <v>5</v>
      </c>
      <c r="C28" s="31" t="s">
        <v>42</v>
      </c>
      <c r="D28" s="31" t="s">
        <v>43</v>
      </c>
      <c r="E28" s="102" t="s">
        <v>44</v>
      </c>
      <c r="F28" s="31" t="s">
        <v>23</v>
      </c>
      <c r="G28" s="103" t="s">
        <v>45</v>
      </c>
    </row>
    <row r="29" spans="1:7" ht="21" customHeight="1" x14ac:dyDescent="0.25">
      <c r="A29" s="156">
        <v>3.1</v>
      </c>
      <c r="B29" s="148" t="s">
        <v>47</v>
      </c>
      <c r="C29" s="139" t="s">
        <v>42</v>
      </c>
      <c r="D29" s="140">
        <v>1</v>
      </c>
      <c r="E29" s="122">
        <v>5122476.2160200002</v>
      </c>
      <c r="F29" s="23">
        <f t="shared" ref="F29:F30" si="4">+E29*0.19</f>
        <v>973270.48104380001</v>
      </c>
      <c r="G29" s="34">
        <f t="shared" ref="G29:G30" si="5">+E29+F29</f>
        <v>6095746.6970637999</v>
      </c>
    </row>
    <row r="30" spans="1:7" ht="39" thickBot="1" x14ac:dyDescent="0.3">
      <c r="A30" s="157">
        <v>3.2</v>
      </c>
      <c r="B30" s="149" t="s">
        <v>49</v>
      </c>
      <c r="C30" s="143" t="s">
        <v>42</v>
      </c>
      <c r="D30" s="144">
        <v>1</v>
      </c>
      <c r="E30" s="68">
        <v>818700</v>
      </c>
      <c r="F30" s="104">
        <f t="shared" si="4"/>
        <v>155553</v>
      </c>
      <c r="G30" s="105">
        <f t="shared" si="5"/>
        <v>974253</v>
      </c>
    </row>
    <row r="31" spans="1:7" ht="30" customHeight="1" thickBot="1" x14ac:dyDescent="0.3">
      <c r="A31" s="106" t="s">
        <v>51</v>
      </c>
      <c r="B31" s="107"/>
      <c r="C31" s="107"/>
      <c r="D31" s="107"/>
      <c r="E31" s="107"/>
      <c r="F31" s="108"/>
      <c r="G31" s="83">
        <f>SUM(G29:G30)</f>
        <v>7069999.6970637999</v>
      </c>
    </row>
    <row r="32" spans="1:7" ht="30.75" customHeight="1" thickBot="1" x14ac:dyDescent="0.3">
      <c r="A32" s="109"/>
      <c r="B32" s="110" t="s">
        <v>70</v>
      </c>
      <c r="C32" s="110"/>
      <c r="D32" s="110"/>
      <c r="E32" s="110"/>
      <c r="F32" s="110"/>
      <c r="G32" s="111"/>
    </row>
    <row r="33" spans="1:7" ht="26.25" thickBot="1" x14ac:dyDescent="0.3">
      <c r="A33" s="29" t="s">
        <v>4</v>
      </c>
      <c r="B33" s="30" t="s">
        <v>5</v>
      </c>
      <c r="C33" s="31" t="s">
        <v>42</v>
      </c>
      <c r="D33" s="31" t="s">
        <v>43</v>
      </c>
      <c r="E33" s="102" t="s">
        <v>44</v>
      </c>
      <c r="F33" s="113" t="s">
        <v>55</v>
      </c>
      <c r="G33" s="35" t="s">
        <v>6</v>
      </c>
    </row>
    <row r="34" spans="1:7" ht="19.5" customHeight="1" x14ac:dyDescent="0.25">
      <c r="A34" s="158">
        <v>4.0999999999999996</v>
      </c>
      <c r="B34" s="150" t="s">
        <v>47</v>
      </c>
      <c r="C34" s="69" t="s">
        <v>42</v>
      </c>
      <c r="D34" s="98">
        <v>1</v>
      </c>
      <c r="E34" s="138">
        <v>3130540</v>
      </c>
      <c r="F34" s="70">
        <f t="shared" ref="F34:F37" si="6">+E34*0.19</f>
        <v>594802.6</v>
      </c>
      <c r="G34" s="112">
        <f>+E34+F34</f>
        <v>3725342.6</v>
      </c>
    </row>
    <row r="35" spans="1:7" ht="19.5" customHeight="1" x14ac:dyDescent="0.25">
      <c r="A35" s="159">
        <v>4.2</v>
      </c>
      <c r="B35" s="151" t="s">
        <v>52</v>
      </c>
      <c r="C35" s="141" t="s">
        <v>42</v>
      </c>
      <c r="D35" s="142">
        <v>1</v>
      </c>
      <c r="E35" s="136">
        <v>447220</v>
      </c>
      <c r="F35" s="25">
        <f t="shared" si="6"/>
        <v>84971.8</v>
      </c>
      <c r="G35" s="112">
        <f t="shared" ref="G35:G37" si="7">+E35+F35</f>
        <v>532191.80000000005</v>
      </c>
    </row>
    <row r="36" spans="1:7" ht="19.5" customHeight="1" x14ac:dyDescent="0.25">
      <c r="A36" s="159">
        <v>4.3</v>
      </c>
      <c r="B36" s="152" t="s">
        <v>53</v>
      </c>
      <c r="C36" s="141" t="s">
        <v>42</v>
      </c>
      <c r="D36" s="142">
        <v>1</v>
      </c>
      <c r="E36" s="136">
        <v>4284212.5637333328</v>
      </c>
      <c r="F36" s="25">
        <f t="shared" si="6"/>
        <v>814000.38710933318</v>
      </c>
      <c r="G36" s="112">
        <f t="shared" si="7"/>
        <v>5098212.9508426655</v>
      </c>
    </row>
    <row r="37" spans="1:7" ht="39" thickBot="1" x14ac:dyDescent="0.3">
      <c r="A37" s="160">
        <v>4.4000000000000004</v>
      </c>
      <c r="B37" s="153" t="s">
        <v>54</v>
      </c>
      <c r="C37" s="74" t="s">
        <v>42</v>
      </c>
      <c r="D37" s="97">
        <v>1</v>
      </c>
      <c r="E37" s="137">
        <v>818700</v>
      </c>
      <c r="F37" s="76">
        <f t="shared" si="6"/>
        <v>155553</v>
      </c>
      <c r="G37" s="112">
        <f t="shared" si="7"/>
        <v>974253</v>
      </c>
    </row>
    <row r="38" spans="1:7" ht="30" customHeight="1" thickBot="1" x14ac:dyDescent="0.3">
      <c r="A38" s="114" t="s">
        <v>61</v>
      </c>
      <c r="B38" s="115"/>
      <c r="C38" s="115"/>
      <c r="D38" s="115"/>
      <c r="E38" s="115"/>
      <c r="F38" s="116"/>
      <c r="G38" s="83">
        <f>SUM(G34:G37)</f>
        <v>10330000.350842666</v>
      </c>
    </row>
    <row r="39" spans="1:7" ht="39.75" customHeight="1" thickBot="1" x14ac:dyDescent="0.3">
      <c r="A39" s="117" t="s">
        <v>62</v>
      </c>
      <c r="B39" s="118"/>
      <c r="C39" s="118"/>
      <c r="D39" s="118"/>
      <c r="E39" s="118"/>
      <c r="F39" s="119"/>
      <c r="G39" s="120">
        <f>+G31+G38</f>
        <v>17400000.047906466</v>
      </c>
    </row>
    <row r="40" spans="1:7" ht="41.25" customHeight="1" thickBot="1" x14ac:dyDescent="0.3">
      <c r="A40" s="145" t="s">
        <v>66</v>
      </c>
      <c r="B40" s="146"/>
      <c r="C40" s="146"/>
      <c r="D40" s="146"/>
      <c r="E40" s="146"/>
      <c r="F40" s="146"/>
      <c r="G40" s="147">
        <f>+G39+G25</f>
        <v>56575200.053792469</v>
      </c>
    </row>
  </sheetData>
  <mergeCells count="15">
    <mergeCell ref="A38:F38"/>
    <mergeCell ref="A39:F39"/>
    <mergeCell ref="A40:F40"/>
    <mergeCell ref="A4:G4"/>
    <mergeCell ref="A31:F31"/>
    <mergeCell ref="B15:G15"/>
    <mergeCell ref="A25:F25"/>
    <mergeCell ref="A24:F24"/>
    <mergeCell ref="A27:G27"/>
    <mergeCell ref="B32:G32"/>
    <mergeCell ref="B1:E1"/>
    <mergeCell ref="B2:E2"/>
    <mergeCell ref="A3:E3"/>
    <mergeCell ref="B5:G5"/>
    <mergeCell ref="A14:F1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48B69-8D12-48E8-9075-636E84234418}">
  <dimension ref="B2:L33"/>
  <sheetViews>
    <sheetView topLeftCell="A10" zoomScale="55" zoomScaleNormal="55" workbookViewId="0">
      <selection activeCell="C33" sqref="C33"/>
    </sheetView>
  </sheetViews>
  <sheetFormatPr baseColWidth="10" defaultRowHeight="15" x14ac:dyDescent="0.25"/>
  <cols>
    <col min="2" max="2" width="9.7109375" bestFit="1" customWidth="1"/>
    <col min="3" max="3" width="54.140625" customWidth="1"/>
    <col min="4" max="4" width="16.7109375" bestFit="1" customWidth="1"/>
    <col min="5" max="5" width="14.7109375" bestFit="1" customWidth="1"/>
    <col min="6" max="6" width="15.7109375" bestFit="1" customWidth="1"/>
    <col min="7" max="7" width="14.7109375" bestFit="1" customWidth="1"/>
    <col min="8" max="8" width="15.42578125" bestFit="1" customWidth="1"/>
    <col min="9" max="9" width="19.5703125" bestFit="1" customWidth="1"/>
    <col min="10" max="10" width="18.28515625" bestFit="1" customWidth="1"/>
    <col min="11" max="11" width="18" bestFit="1" customWidth="1"/>
    <col min="12" max="12" width="18.85546875" bestFit="1" customWidth="1"/>
  </cols>
  <sheetData>
    <row r="2" spans="2:12" ht="15.75" thickBot="1" x14ac:dyDescent="0.3"/>
    <row r="3" spans="2:12" ht="30" customHeight="1" thickBot="1" x14ac:dyDescent="0.3">
      <c r="B3" s="27"/>
      <c r="C3" s="63" t="s">
        <v>64</v>
      </c>
      <c r="D3" s="63"/>
      <c r="E3" s="63"/>
      <c r="F3" s="64"/>
    </row>
    <row r="4" spans="2:12" ht="30" customHeight="1" thickBot="1" x14ac:dyDescent="0.3">
      <c r="B4" s="29" t="s">
        <v>4</v>
      </c>
      <c r="C4" s="30" t="s">
        <v>5</v>
      </c>
      <c r="D4" s="30" t="s">
        <v>6</v>
      </c>
      <c r="E4" s="30" t="s">
        <v>24</v>
      </c>
      <c r="F4" s="35" t="s">
        <v>25</v>
      </c>
      <c r="G4" s="12"/>
    </row>
    <row r="5" spans="2:12" ht="30" x14ac:dyDescent="0.25">
      <c r="B5" s="36" t="s">
        <v>33</v>
      </c>
      <c r="C5" s="52" t="s">
        <v>26</v>
      </c>
      <c r="D5" s="37">
        <f>+E5+F5</f>
        <v>3279613.3333333335</v>
      </c>
      <c r="E5" s="37">
        <f>+$L$8*14/30</f>
        <v>2087026.6666666667</v>
      </c>
      <c r="F5" s="38">
        <f>+$L$8*8/30</f>
        <v>1192586.6666666667</v>
      </c>
      <c r="G5" s="14"/>
      <c r="I5" s="6" t="s">
        <v>8</v>
      </c>
      <c r="J5" s="7" t="s">
        <v>9</v>
      </c>
      <c r="K5" s="7" t="s">
        <v>10</v>
      </c>
      <c r="L5" s="65" t="s">
        <v>11</v>
      </c>
    </row>
    <row r="6" spans="2:12" ht="25.5" x14ac:dyDescent="0.25">
      <c r="B6" s="3" t="s">
        <v>34</v>
      </c>
      <c r="C6" s="47" t="s">
        <v>27</v>
      </c>
      <c r="D6" s="13">
        <f>+E6+F6</f>
        <v>596293.33333333337</v>
      </c>
      <c r="E6" s="13">
        <f>+$L$8*3/30</f>
        <v>447220</v>
      </c>
      <c r="F6" s="39">
        <f>+$L$8*1/30</f>
        <v>149073.33333333334</v>
      </c>
      <c r="G6" s="14"/>
      <c r="I6" s="7" t="s">
        <v>12</v>
      </c>
      <c r="J6" s="7" t="s">
        <v>13</v>
      </c>
      <c r="K6" s="7" t="s">
        <v>13</v>
      </c>
      <c r="L6" s="65"/>
    </row>
    <row r="7" spans="2:12" ht="30" x14ac:dyDescent="0.25">
      <c r="B7" s="3" t="s">
        <v>35</v>
      </c>
      <c r="C7" s="48" t="s">
        <v>7</v>
      </c>
      <c r="D7" s="13">
        <f t="shared" ref="D7:D11" si="0">+E7+F7</f>
        <v>1639806.6666666667</v>
      </c>
      <c r="E7" s="13">
        <f>+$L$8*8/30</f>
        <v>1192586.6666666667</v>
      </c>
      <c r="F7" s="39">
        <f>+$L$8*3/30</f>
        <v>447220</v>
      </c>
      <c r="G7" s="14"/>
      <c r="I7" s="8" t="s">
        <v>14</v>
      </c>
      <c r="J7" s="9">
        <v>10108800</v>
      </c>
      <c r="K7" s="9">
        <v>9980000</v>
      </c>
      <c r="L7" s="10">
        <f>AVERAGE(J7:K7)</f>
        <v>10044400</v>
      </c>
    </row>
    <row r="8" spans="2:12" x14ac:dyDescent="0.25">
      <c r="B8" s="3" t="s">
        <v>36</v>
      </c>
      <c r="C8" s="48" t="s">
        <v>28</v>
      </c>
      <c r="D8" s="13">
        <f t="shared" si="0"/>
        <v>8049960</v>
      </c>
      <c r="E8" s="13">
        <f>+$L$8*36/30</f>
        <v>5366640</v>
      </c>
      <c r="F8" s="39">
        <f>+$L$8*18/30</f>
        <v>2683320</v>
      </c>
      <c r="G8" s="14"/>
      <c r="I8" s="7" t="s">
        <v>15</v>
      </c>
      <c r="J8" s="11">
        <v>5054400</v>
      </c>
      <c r="K8" s="11">
        <v>3890000</v>
      </c>
      <c r="L8" s="10">
        <f>AVERAGE(J8:K8)</f>
        <v>4472200</v>
      </c>
    </row>
    <row r="9" spans="2:12" x14ac:dyDescent="0.25">
      <c r="B9" s="3" t="s">
        <v>37</v>
      </c>
      <c r="C9" s="47" t="s">
        <v>29</v>
      </c>
      <c r="D9" s="13">
        <f t="shared" si="0"/>
        <v>409951.66666666669</v>
      </c>
      <c r="E9" s="13">
        <f>+$L$8*2/30</f>
        <v>298146.66666666669</v>
      </c>
      <c r="F9" s="39">
        <f>+$L$8*0.75/30</f>
        <v>111805</v>
      </c>
      <c r="G9" s="14"/>
    </row>
    <row r="10" spans="2:12" x14ac:dyDescent="0.25">
      <c r="B10" s="3" t="s">
        <v>38</v>
      </c>
      <c r="C10" s="49" t="s">
        <v>30</v>
      </c>
      <c r="D10" s="13">
        <f t="shared" si="0"/>
        <v>3130540</v>
      </c>
      <c r="E10" s="13">
        <f>+$L$8*14/30</f>
        <v>2087026.6666666667</v>
      </c>
      <c r="F10" s="39">
        <f>+$L$8*7/30</f>
        <v>1043513.3333333334</v>
      </c>
      <c r="G10" s="14"/>
    </row>
    <row r="11" spans="2:12" ht="15.75" thickBot="1" x14ac:dyDescent="0.3">
      <c r="B11" s="3" t="s">
        <v>39</v>
      </c>
      <c r="C11" s="49" t="s">
        <v>31</v>
      </c>
      <c r="D11" s="13">
        <f t="shared" si="0"/>
        <v>818700</v>
      </c>
      <c r="E11" s="13">
        <f>+$L$7*2/30</f>
        <v>669626.66666666663</v>
      </c>
      <c r="F11" s="39">
        <f>+$L$8*1/30</f>
        <v>149073.33333333334</v>
      </c>
      <c r="G11" s="14"/>
    </row>
    <row r="12" spans="2:12" ht="30" customHeight="1" thickBot="1" x14ac:dyDescent="0.3">
      <c r="B12" s="40"/>
      <c r="C12" s="56" t="s">
        <v>63</v>
      </c>
      <c r="D12" s="56"/>
      <c r="E12" s="56"/>
      <c r="F12" s="57"/>
    </row>
    <row r="13" spans="2:12" ht="26.25" thickBot="1" x14ac:dyDescent="0.3">
      <c r="B13" s="29" t="s">
        <v>4</v>
      </c>
      <c r="C13" s="30" t="s">
        <v>5</v>
      </c>
      <c r="D13" s="30" t="s">
        <v>6</v>
      </c>
      <c r="E13" s="30" t="s">
        <v>24</v>
      </c>
      <c r="F13" s="35" t="s">
        <v>25</v>
      </c>
    </row>
    <row r="14" spans="2:12" ht="26.25" thickBot="1" x14ac:dyDescent="0.3">
      <c r="B14" s="18" t="s">
        <v>40</v>
      </c>
      <c r="C14" s="41" t="s">
        <v>26</v>
      </c>
      <c r="D14" s="37">
        <f>+E14+F14</f>
        <v>2288172.8060666667</v>
      </c>
      <c r="E14" s="37">
        <f>+$L$8*9.34931/30</f>
        <v>1393732.8060666665</v>
      </c>
      <c r="F14" s="38">
        <f>+$L$8*6/30</f>
        <v>894440</v>
      </c>
      <c r="G14" s="14"/>
      <c r="H14" s="16"/>
    </row>
    <row r="15" spans="2:12" ht="26.25" thickBot="1" x14ac:dyDescent="0.3">
      <c r="B15" s="19" t="s">
        <v>16</v>
      </c>
      <c r="C15" s="42" t="s">
        <v>27</v>
      </c>
      <c r="D15" s="13">
        <f>+E15+F15</f>
        <v>447220</v>
      </c>
      <c r="E15" s="13">
        <f>+$L$8*2/30</f>
        <v>298146.66666666669</v>
      </c>
      <c r="F15" s="39">
        <f>+$L$8*1/30</f>
        <v>149073.33333333334</v>
      </c>
      <c r="G15" s="14"/>
      <c r="H15" s="16"/>
    </row>
    <row r="16" spans="2:12" ht="15.75" thickBot="1" x14ac:dyDescent="0.3">
      <c r="B16" s="19" t="s">
        <v>17</v>
      </c>
      <c r="C16" s="43" t="s">
        <v>7</v>
      </c>
      <c r="D16" s="13">
        <f t="shared" ref="D16:D20" si="1">+E16+F16</f>
        <v>1639806.6666666667</v>
      </c>
      <c r="E16" s="13">
        <f>+$L$8*8/30</f>
        <v>1192586.6666666667</v>
      </c>
      <c r="F16" s="39">
        <f>+$L$8*3/30</f>
        <v>447220</v>
      </c>
      <c r="G16" s="14"/>
      <c r="H16" s="16"/>
    </row>
    <row r="17" spans="2:11" ht="15.75" thickBot="1" x14ac:dyDescent="0.3">
      <c r="B17" s="19" t="s">
        <v>18</v>
      </c>
      <c r="C17" s="43" t="s">
        <v>28</v>
      </c>
      <c r="D17" s="13">
        <f t="shared" si="1"/>
        <v>6261080</v>
      </c>
      <c r="E17" s="13">
        <f>+$L$8*28/30</f>
        <v>4174053.3333333335</v>
      </c>
      <c r="F17" s="39">
        <f>+$L$8*14/30</f>
        <v>2087026.6666666667</v>
      </c>
      <c r="G17" s="14"/>
      <c r="H17" s="16"/>
    </row>
    <row r="18" spans="2:11" ht="15.75" thickBot="1" x14ac:dyDescent="0.3">
      <c r="B18" s="19" t="s">
        <v>19</v>
      </c>
      <c r="C18" s="42" t="s">
        <v>29</v>
      </c>
      <c r="D18" s="13">
        <f t="shared" si="1"/>
        <v>409951.66666666669</v>
      </c>
      <c r="E18" s="13">
        <f>+$L$8*2/30</f>
        <v>298146.66666666669</v>
      </c>
      <c r="F18" s="39">
        <f>+$L$8*0.75/30</f>
        <v>111805</v>
      </c>
      <c r="G18" s="14"/>
      <c r="H18" s="16"/>
    </row>
    <row r="19" spans="2:11" ht="15.75" thickBot="1" x14ac:dyDescent="0.3">
      <c r="B19" s="19" t="s">
        <v>20</v>
      </c>
      <c r="C19" s="44" t="s">
        <v>30</v>
      </c>
      <c r="D19" s="13">
        <f t="shared" si="1"/>
        <v>3130540</v>
      </c>
      <c r="E19" s="13">
        <f>+$L$8*14/30</f>
        <v>2087026.6666666667</v>
      </c>
      <c r="F19" s="39">
        <f>+$L$8*7/30</f>
        <v>1043513.3333333334</v>
      </c>
      <c r="G19" s="14"/>
      <c r="H19" s="16"/>
    </row>
    <row r="20" spans="2:11" ht="15.75" thickBot="1" x14ac:dyDescent="0.3">
      <c r="B20" s="19" t="s">
        <v>21</v>
      </c>
      <c r="C20" s="44" t="s">
        <v>31</v>
      </c>
      <c r="D20" s="13">
        <f t="shared" si="1"/>
        <v>818700</v>
      </c>
      <c r="E20" s="13">
        <f>+$L$7*2/30</f>
        <v>669626.66666666663</v>
      </c>
      <c r="F20" s="39">
        <f>+$L$8*1/30</f>
        <v>149073.33333333334</v>
      </c>
      <c r="G20" s="14"/>
      <c r="H20" s="16"/>
    </row>
    <row r="21" spans="2:11" ht="15.75" thickBot="1" x14ac:dyDescent="0.3">
      <c r="B21" s="4"/>
      <c r="C21" s="5"/>
      <c r="D21" s="15"/>
      <c r="F21" s="15"/>
      <c r="G21" s="20"/>
      <c r="H21" s="16"/>
    </row>
    <row r="22" spans="2:11" ht="30" customHeight="1" thickBot="1" x14ac:dyDescent="0.3">
      <c r="B22" s="40"/>
      <c r="C22" s="63" t="s">
        <v>65</v>
      </c>
      <c r="D22" s="63"/>
      <c r="E22" s="63"/>
      <c r="F22" s="64"/>
      <c r="G22" s="20"/>
      <c r="H22" s="17"/>
    </row>
    <row r="23" spans="2:11" s="127" customFormat="1" ht="30" customHeight="1" thickBot="1" x14ac:dyDescent="0.3">
      <c r="B23" s="29" t="s">
        <v>4</v>
      </c>
      <c r="C23" s="30" t="s">
        <v>5</v>
      </c>
      <c r="D23" s="30" t="s">
        <v>6</v>
      </c>
      <c r="E23" s="30" t="s">
        <v>24</v>
      </c>
      <c r="F23" s="35" t="s">
        <v>25</v>
      </c>
      <c r="G23" s="20"/>
      <c r="H23" s="17"/>
    </row>
    <row r="24" spans="2:11" ht="26.25" x14ac:dyDescent="0.25">
      <c r="B24" s="66" t="s">
        <v>46</v>
      </c>
      <c r="C24" s="90" t="s">
        <v>47</v>
      </c>
      <c r="D24" s="37">
        <f>+E24+F24</f>
        <v>5122476.2160200002</v>
      </c>
      <c r="E24" s="37">
        <f>+$L$8*24/30</f>
        <v>3577760</v>
      </c>
      <c r="F24" s="38">
        <f>+$L$8*10.362123/30</f>
        <v>1544716.2160199999</v>
      </c>
      <c r="H24" s="15"/>
      <c r="J24" s="121"/>
      <c r="K24" s="89"/>
    </row>
    <row r="25" spans="2:11" ht="52.5" thickBot="1" x14ac:dyDescent="0.3">
      <c r="B25" s="67" t="s">
        <v>48</v>
      </c>
      <c r="C25" s="91" t="s">
        <v>49</v>
      </c>
      <c r="D25" s="13">
        <f t="shared" ref="D25" si="2">+E25+F25</f>
        <v>818700</v>
      </c>
      <c r="E25" s="13">
        <f>+$L$7*2/30</f>
        <v>669626.66666666663</v>
      </c>
      <c r="F25" s="39">
        <f>+$L$8*1/30</f>
        <v>149073.33333333334</v>
      </c>
      <c r="G25" s="89"/>
      <c r="H25" s="15"/>
      <c r="J25" s="121"/>
      <c r="K25" s="89"/>
    </row>
    <row r="26" spans="2:11" ht="30" customHeight="1" thickBot="1" x14ac:dyDescent="0.3">
      <c r="B26" s="40"/>
      <c r="C26" s="56" t="s">
        <v>63</v>
      </c>
      <c r="D26" s="56"/>
      <c r="E26" s="56"/>
      <c r="F26" s="57"/>
      <c r="H26" s="15"/>
      <c r="J26" s="121"/>
      <c r="K26" s="89"/>
    </row>
    <row r="27" spans="2:11" s="127" customFormat="1" ht="30" customHeight="1" thickBot="1" x14ac:dyDescent="0.3">
      <c r="B27" s="29" t="s">
        <v>4</v>
      </c>
      <c r="C27" s="30" t="s">
        <v>5</v>
      </c>
      <c r="D27" s="30" t="s">
        <v>6</v>
      </c>
      <c r="E27" s="30" t="s">
        <v>24</v>
      </c>
      <c r="F27" s="35" t="s">
        <v>25</v>
      </c>
      <c r="H27" s="15"/>
      <c r="I27" s="161"/>
      <c r="J27" s="121"/>
    </row>
    <row r="28" spans="2:11" ht="26.25" x14ac:dyDescent="0.25">
      <c r="B28" s="128" t="s">
        <v>56</v>
      </c>
      <c r="C28" s="129" t="s">
        <v>47</v>
      </c>
      <c r="D28" s="125">
        <f>+E28+F28</f>
        <v>3130540</v>
      </c>
      <c r="E28" s="125">
        <f>+$L$8*14/30</f>
        <v>2087026.6666666667</v>
      </c>
      <c r="F28" s="123">
        <f>+$L$8*7/30</f>
        <v>1043513.3333333334</v>
      </c>
      <c r="G28" s="135"/>
      <c r="H28" s="135"/>
      <c r="I28" s="162"/>
      <c r="J28" s="135"/>
      <c r="K28" s="135"/>
    </row>
    <row r="29" spans="2:11" x14ac:dyDescent="0.25">
      <c r="B29" s="130" t="s">
        <v>57</v>
      </c>
      <c r="C29" s="131" t="s">
        <v>52</v>
      </c>
      <c r="D29" s="13">
        <f t="shared" ref="D29:D30" si="3">+E29+F29</f>
        <v>447220</v>
      </c>
      <c r="E29" s="13">
        <f>+$L$8*2/30</f>
        <v>298146.66666666669</v>
      </c>
      <c r="F29" s="39">
        <f>+$L$8*1/30</f>
        <v>149073.33333333334</v>
      </c>
      <c r="G29" s="135"/>
      <c r="H29" s="135"/>
      <c r="I29" s="162"/>
      <c r="J29" s="135"/>
      <c r="K29" s="135"/>
    </row>
    <row r="30" spans="2:11" x14ac:dyDescent="0.25">
      <c r="B30" s="130" t="s">
        <v>58</v>
      </c>
      <c r="C30" s="132" t="s">
        <v>53</v>
      </c>
      <c r="D30" s="13">
        <f t="shared" si="3"/>
        <v>4284212.5637333328</v>
      </c>
      <c r="E30" s="13">
        <f>+$L$8*19.37006/30</f>
        <v>2887559.4110666662</v>
      </c>
      <c r="F30" s="39">
        <f>+$L$8*9.3689/30</f>
        <v>1396653.1526666665</v>
      </c>
      <c r="G30" s="135"/>
      <c r="H30" s="135"/>
      <c r="I30" s="162"/>
      <c r="J30" s="135"/>
      <c r="K30" s="135"/>
    </row>
    <row r="31" spans="2:11" ht="52.5" thickBot="1" x14ac:dyDescent="0.3">
      <c r="B31" s="133" t="s">
        <v>59</v>
      </c>
      <c r="C31" s="134" t="s">
        <v>54</v>
      </c>
      <c r="D31" s="126">
        <f t="shared" ref="D31" si="4">+E31+F31</f>
        <v>818700</v>
      </c>
      <c r="E31" s="126">
        <f>+$L$7*2/30</f>
        <v>669626.66666666663</v>
      </c>
      <c r="F31" s="124">
        <f>+$L$8*1/30</f>
        <v>149073.33333333334</v>
      </c>
      <c r="G31" s="16"/>
      <c r="H31" s="15"/>
      <c r="I31" s="162"/>
      <c r="J31" s="135"/>
      <c r="K31" s="135"/>
    </row>
    <row r="32" spans="2:11" ht="15.75" x14ac:dyDescent="0.25">
      <c r="H32" s="15"/>
      <c r="I32" s="163"/>
      <c r="J32" s="135"/>
      <c r="K32" s="135"/>
    </row>
    <row r="33" spans="9:9" x14ac:dyDescent="0.25">
      <c r="I33" s="161"/>
    </row>
  </sheetData>
  <mergeCells count="5">
    <mergeCell ref="C26:F26"/>
    <mergeCell ref="C12:F12"/>
    <mergeCell ref="L5:L6"/>
    <mergeCell ref="C3:F3"/>
    <mergeCell ref="C22:F22"/>
  </mergeCells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3753-9CB3-4050-B54B-EF15A52DFC9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INTERVENTORIA</vt:lpstr>
      <vt:lpstr>JUSTIFICACION</vt:lpstr>
      <vt:lpstr>DOC REFERENCIA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2022-05-27T21:05:08Z</dcterms:created>
  <dcterms:modified xsi:type="dcterms:W3CDTF">2023-08-30T03:07:41Z</dcterms:modified>
</cp:coreProperties>
</file>