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su37ADM2CTR30PE\PRECONTRACTUAL 2023\2023\2. INVITACIÓN A COTIZAR\IC-294-2023 ALIMENTOS Y NUTRICIONES  ENTERALES Y PARENTERALES\5. PUBLICACIÓN - INVITACIÓN A COTIZAR\"/>
    </mc:Choice>
  </mc:AlternateContent>
  <bookViews>
    <workbookView xWindow="0" yWindow="0" windowWidth="24000" windowHeight="9525"/>
  </bookViews>
  <sheets>
    <sheet name="EM-294-2023" sheetId="3" r:id="rId1"/>
  </sheets>
  <definedNames>
    <definedName name="_xlnm._FilterDatabase" localSheetId="0" hidden="1">'EM-294-2023'!$A$11:$BE$11</definedName>
    <definedName name="_xlnm.Print_Area" localSheetId="0">'EM-294-2023'!$A$1:$BE$109</definedName>
  </definedNames>
  <calcPr calcId="162913"/>
</workbook>
</file>

<file path=xl/calcChain.xml><?xml version="1.0" encoding="utf-8"?>
<calcChain xmlns="http://schemas.openxmlformats.org/spreadsheetml/2006/main">
  <c r="BE82" i="3" l="1"/>
  <c r="BE73" i="3"/>
  <c r="BE71" i="3"/>
  <c r="BE63" i="3"/>
  <c r="BE61" i="3"/>
  <c r="BE51" i="3"/>
  <c r="BE44" i="3"/>
  <c r="BE34" i="3"/>
  <c r="BE32" i="3"/>
  <c r="BE31" i="3"/>
  <c r="BE29" i="3"/>
  <c r="BE28" i="3"/>
  <c r="BE25" i="3"/>
  <c r="BD56" i="3"/>
  <c r="BA88" i="3"/>
  <c r="BE88" i="3" s="1"/>
  <c r="BB76" i="3"/>
  <c r="BC76" i="3" s="1"/>
  <c r="BA76" i="3"/>
  <c r="BB74" i="3"/>
  <c r="BA74" i="3"/>
  <c r="BE74" i="3" s="1"/>
  <c r="BB72" i="3"/>
  <c r="BA72" i="3"/>
  <c r="BB69" i="3"/>
  <c r="BA69" i="3"/>
  <c r="BE69" i="3" s="1"/>
  <c r="BB67" i="3"/>
  <c r="BC67" i="3" s="1"/>
  <c r="BA67" i="3"/>
  <c r="BB66" i="3"/>
  <c r="BC66" i="3" s="1"/>
  <c r="BA66" i="3"/>
  <c r="BB65" i="3"/>
  <c r="BC65" i="3" s="1"/>
  <c r="BA65" i="3"/>
  <c r="BB60" i="3"/>
  <c r="BA60" i="3"/>
  <c r="BB56" i="3"/>
  <c r="BC56" i="3" s="1"/>
  <c r="BA56" i="3"/>
  <c r="BB53" i="3"/>
  <c r="BA53" i="3"/>
  <c r="BA52" i="3"/>
  <c r="BB43" i="3"/>
  <c r="AM43" i="3"/>
  <c r="BA43" i="3" s="1"/>
  <c r="BE43" i="3" s="1"/>
  <c r="BB40" i="3"/>
  <c r="BB39" i="3"/>
  <c r="BC39" i="3" s="1"/>
  <c r="BB37" i="3"/>
  <c r="BC37" i="3" s="1"/>
  <c r="BB35" i="3"/>
  <c r="BC35" i="3" s="1"/>
  <c r="BB29" i="3"/>
  <c r="BC29" i="3" s="1"/>
  <c r="BA29" i="3"/>
  <c r="BA18" i="3"/>
  <c r="BB17" i="3"/>
  <c r="BA17" i="3"/>
  <c r="BD76" i="3" l="1"/>
  <c r="BD35" i="3"/>
  <c r="BD65" i="3"/>
  <c r="BD39" i="3"/>
  <c r="BD67" i="3"/>
  <c r="BD37" i="3"/>
  <c r="BD29" i="3"/>
  <c r="BD66" i="3"/>
  <c r="BB88" i="3"/>
  <c r="C98" i="3"/>
  <c r="C97" i="3"/>
  <c r="C96" i="3"/>
  <c r="BE17" i="3"/>
  <c r="BE35" i="3"/>
  <c r="BE37" i="3"/>
  <c r="BE39" i="3"/>
  <c r="BE53" i="3"/>
  <c r="BE56" i="3"/>
  <c r="BE60" i="3"/>
  <c r="BE65" i="3"/>
  <c r="BE66" i="3"/>
  <c r="BE67" i="3"/>
  <c r="BE72" i="3"/>
  <c r="BE76" i="3"/>
  <c r="BB86" i="3"/>
  <c r="BA86" i="3"/>
  <c r="BB85" i="3"/>
  <c r="BA85" i="3"/>
  <c r="BB83" i="3"/>
  <c r="BD83" i="3" s="1"/>
  <c r="BA83" i="3"/>
  <c r="BB82" i="3"/>
  <c r="BD82" i="3" s="1"/>
  <c r="BA82" i="3"/>
  <c r="BB81" i="3"/>
  <c r="BA81" i="3"/>
  <c r="BB80" i="3"/>
  <c r="BD80" i="3" s="1"/>
  <c r="BA80" i="3"/>
  <c r="BB70" i="3"/>
  <c r="BD70" i="3" s="1"/>
  <c r="BA70" i="3"/>
  <c r="BB58" i="3"/>
  <c r="BA58" i="3"/>
  <c r="BE58" i="3" s="1"/>
  <c r="BA57" i="3"/>
  <c r="BB57" i="3"/>
  <c r="BD57" i="3" s="1"/>
  <c r="BB55" i="3"/>
  <c r="BD55" i="3" s="1"/>
  <c r="BA55" i="3"/>
  <c r="BB54" i="3"/>
  <c r="BD54" i="3" s="1"/>
  <c r="BA54" i="3"/>
  <c r="BB46" i="3"/>
  <c r="BD46" i="3" s="1"/>
  <c r="BA46" i="3"/>
  <c r="BB44" i="3"/>
  <c r="BD44" i="3" s="1"/>
  <c r="BA44" i="3"/>
  <c r="BB41" i="3"/>
  <c r="BD41" i="3" s="1"/>
  <c r="BA41" i="3"/>
  <c r="BB36" i="3"/>
  <c r="BD36" i="3" s="1"/>
  <c r="BA36" i="3"/>
  <c r="BB34" i="3"/>
  <c r="BD34" i="3" s="1"/>
  <c r="BA34" i="3"/>
  <c r="BB30" i="3"/>
  <c r="BD30" i="3" s="1"/>
  <c r="BA30" i="3"/>
  <c r="BB28" i="3"/>
  <c r="BD28" i="3" s="1"/>
  <c r="BA28" i="3"/>
  <c r="BB27" i="3"/>
  <c r="BD27" i="3" s="1"/>
  <c r="BA27" i="3"/>
  <c r="BB24" i="3"/>
  <c r="BD24" i="3" s="1"/>
  <c r="BA24" i="3"/>
  <c r="BB23" i="3"/>
  <c r="BD23" i="3" s="1"/>
  <c r="BA23" i="3"/>
  <c r="BA22" i="3"/>
  <c r="BB18" i="3"/>
  <c r="BB16" i="3"/>
  <c r="BA16" i="3"/>
  <c r="BC16" i="3" l="1"/>
  <c r="BD16" i="3"/>
  <c r="BC81" i="3"/>
  <c r="BD81" i="3"/>
  <c r="BC86" i="3"/>
  <c r="BD86" i="3"/>
  <c r="BC85" i="3"/>
  <c r="BD85" i="3"/>
  <c r="BE27" i="3"/>
  <c r="BC27" i="3"/>
  <c r="BC30" i="3"/>
  <c r="BC28" i="3"/>
  <c r="BC34" i="3"/>
  <c r="BE41" i="3"/>
  <c r="BC41" i="3"/>
  <c r="BC46" i="3"/>
  <c r="BE55" i="3"/>
  <c r="BC55" i="3"/>
  <c r="BE80" i="3"/>
  <c r="BC80" i="3"/>
  <c r="BC82" i="3"/>
  <c r="BE24" i="3"/>
  <c r="BC24" i="3"/>
  <c r="BE57" i="3"/>
  <c r="BC57" i="3"/>
  <c r="BE23" i="3"/>
  <c r="BC23" i="3"/>
  <c r="BE36" i="3"/>
  <c r="BC36" i="3"/>
  <c r="BC44" i="3"/>
  <c r="BC54" i="3"/>
  <c r="BC70" i="3"/>
  <c r="BE83" i="3"/>
  <c r="BC83" i="3"/>
  <c r="BE81" i="3"/>
  <c r="BE86" i="3"/>
  <c r="BE70" i="3"/>
  <c r="BE54" i="3"/>
  <c r="BE46" i="3"/>
  <c r="BE30" i="3"/>
  <c r="BE18" i="3"/>
  <c r="BE85" i="3"/>
  <c r="BE16" i="3"/>
  <c r="AO67" i="3" l="1"/>
  <c r="AO65" i="3"/>
  <c r="AD26" i="3"/>
  <c r="AH26" i="3"/>
  <c r="K84" i="3" l="1"/>
  <c r="L84" i="3" s="1"/>
  <c r="K53" i="3"/>
  <c r="L53" i="3" s="1"/>
  <c r="K50" i="3"/>
  <c r="L50" i="3" s="1"/>
  <c r="M84" i="3" l="1"/>
  <c r="BA84" i="3" s="1"/>
  <c r="M50" i="3"/>
  <c r="BE50" i="3" s="1"/>
  <c r="M53" i="3"/>
  <c r="BD53" i="3" s="1"/>
  <c r="K60" i="3"/>
  <c r="L60" i="3" s="1"/>
  <c r="BC53" i="3" l="1"/>
  <c r="BB84" i="3"/>
  <c r="BD84" i="3" s="1"/>
  <c r="M60" i="3"/>
  <c r="BD60" i="3" s="1"/>
  <c r="AN84" i="3"/>
  <c r="AN88" i="3"/>
  <c r="AQ88" i="3" s="1"/>
  <c r="AM84" i="3"/>
  <c r="AM88" i="3"/>
  <c r="L89" i="3"/>
  <c r="O89" i="3"/>
  <c r="S89" i="3"/>
  <c r="W89" i="3"/>
  <c r="X89" i="3"/>
  <c r="AA89" i="3"/>
  <c r="AC89" i="3"/>
  <c r="D97" i="3" s="1"/>
  <c r="AE89" i="3"/>
  <c r="AF89" i="3"/>
  <c r="AG89" i="3"/>
  <c r="D98" i="3" s="1"/>
  <c r="AI89" i="3"/>
  <c r="AK89" i="3"/>
  <c r="D99" i="3" s="1"/>
  <c r="J89" i="3"/>
  <c r="M89" i="3" l="1"/>
  <c r="BC84" i="3"/>
  <c r="BE84" i="3"/>
  <c r="BC60" i="3"/>
  <c r="AL89" i="3"/>
  <c r="AQ84" i="3"/>
  <c r="AP84" i="3"/>
  <c r="AH13" i="3"/>
  <c r="AH14" i="3"/>
  <c r="AH15" i="3"/>
  <c r="AH16" i="3"/>
  <c r="AH17" i="3"/>
  <c r="AH18" i="3"/>
  <c r="AH19" i="3"/>
  <c r="AH20" i="3"/>
  <c r="AH21" i="3"/>
  <c r="AH22" i="3"/>
  <c r="AH23" i="3"/>
  <c r="AH24" i="3"/>
  <c r="AH25" i="3"/>
  <c r="AH27" i="3"/>
  <c r="AH28" i="3"/>
  <c r="AH29" i="3"/>
  <c r="AH30" i="3"/>
  <c r="AH31" i="3"/>
  <c r="AH32" i="3"/>
  <c r="AH33" i="3"/>
  <c r="AH34" i="3"/>
  <c r="AH35" i="3"/>
  <c r="AH36" i="3"/>
  <c r="AH37" i="3"/>
  <c r="AH38" i="3"/>
  <c r="AH39" i="3"/>
  <c r="AH41" i="3"/>
  <c r="AH42" i="3"/>
  <c r="AH44" i="3"/>
  <c r="AH45" i="3"/>
  <c r="AH46" i="3"/>
  <c r="AH48" i="3"/>
  <c r="AH49" i="3"/>
  <c r="AH50" i="3"/>
  <c r="AH51" i="3"/>
  <c r="AH55" i="3"/>
  <c r="AH56" i="3"/>
  <c r="AH57" i="3"/>
  <c r="AH58" i="3"/>
  <c r="AH59" i="3"/>
  <c r="AH66" i="3"/>
  <c r="AH68" i="3"/>
  <c r="AH69" i="3"/>
  <c r="AH70" i="3"/>
  <c r="AH71" i="3"/>
  <c r="AH75" i="3"/>
  <c r="AH76" i="3"/>
  <c r="AH77" i="3"/>
  <c r="AH78" i="3"/>
  <c r="AH79" i="3"/>
  <c r="AH80" i="3"/>
  <c r="AH81" i="3"/>
  <c r="AH82" i="3"/>
  <c r="AH83" i="3"/>
  <c r="AH84" i="3"/>
  <c r="AH85" i="3"/>
  <c r="AH86" i="3"/>
  <c r="AH12" i="3"/>
  <c r="AD13" i="3"/>
  <c r="AD14" i="3"/>
  <c r="AD15" i="3"/>
  <c r="AD16" i="3"/>
  <c r="AD17" i="3"/>
  <c r="AD18" i="3"/>
  <c r="AD19" i="3"/>
  <c r="AD20" i="3"/>
  <c r="AD21" i="3"/>
  <c r="AD22" i="3"/>
  <c r="AD23" i="3"/>
  <c r="AD24" i="3"/>
  <c r="AD25" i="3"/>
  <c r="AD27" i="3"/>
  <c r="AD28" i="3"/>
  <c r="AD29" i="3"/>
  <c r="AD30" i="3"/>
  <c r="AD31" i="3"/>
  <c r="AD32" i="3"/>
  <c r="AD33" i="3"/>
  <c r="AD34" i="3"/>
  <c r="AD35" i="3"/>
  <c r="AD36" i="3"/>
  <c r="AD37" i="3"/>
  <c r="AD38" i="3"/>
  <c r="AD39" i="3"/>
  <c r="AD40" i="3"/>
  <c r="AD41" i="3"/>
  <c r="AD42" i="3"/>
  <c r="AD43" i="3"/>
  <c r="AD44" i="3"/>
  <c r="AD45" i="3"/>
  <c r="AD46" i="3"/>
  <c r="AD47" i="3"/>
  <c r="AD48" i="3"/>
  <c r="AD49" i="3"/>
  <c r="AD50" i="3"/>
  <c r="AD51" i="3"/>
  <c r="AD52" i="3"/>
  <c r="AD53" i="3"/>
  <c r="AD54" i="3"/>
  <c r="AD55" i="3"/>
  <c r="AD56" i="3"/>
  <c r="AD57" i="3"/>
  <c r="AD58" i="3"/>
  <c r="AD59" i="3"/>
  <c r="AD60" i="3"/>
  <c r="AD61" i="3"/>
  <c r="AD62" i="3"/>
  <c r="AD63" i="3"/>
  <c r="AD64" i="3"/>
  <c r="AD65" i="3"/>
  <c r="AD66" i="3"/>
  <c r="AD67" i="3"/>
  <c r="AD68" i="3"/>
  <c r="AD69" i="3"/>
  <c r="AD70" i="3"/>
  <c r="AD71" i="3"/>
  <c r="AD72" i="3"/>
  <c r="AD73" i="3"/>
  <c r="AD74" i="3"/>
  <c r="AD75" i="3"/>
  <c r="AD76" i="3"/>
  <c r="AD77" i="3"/>
  <c r="AD78" i="3"/>
  <c r="AD79" i="3"/>
  <c r="AD80" i="3"/>
  <c r="AD81" i="3"/>
  <c r="AD82" i="3"/>
  <c r="AD83" i="3"/>
  <c r="AD85" i="3"/>
  <c r="AD86" i="3"/>
  <c r="AD87" i="3"/>
  <c r="AD88" i="3"/>
  <c r="AD12" i="3"/>
  <c r="AB67" i="3"/>
  <c r="AB60" i="3"/>
  <c r="AB53" i="3"/>
  <c r="AB50" i="3"/>
  <c r="AB43" i="3"/>
  <c r="AB40" i="3"/>
  <c r="AH89" i="3" l="1"/>
  <c r="AD89" i="3"/>
  <c r="AB89" i="3"/>
  <c r="Y13" i="3"/>
  <c r="Y14" i="3"/>
  <c r="Y15" i="3"/>
  <c r="Y19" i="3"/>
  <c r="Y20" i="3"/>
  <c r="Z20" i="3" s="1"/>
  <c r="Y21" i="3"/>
  <c r="Y22" i="3"/>
  <c r="Y25" i="3"/>
  <c r="Y26" i="3"/>
  <c r="Y29" i="3"/>
  <c r="Y31" i="3"/>
  <c r="Z31" i="3" s="1"/>
  <c r="Y32" i="3"/>
  <c r="Z32" i="3" s="1"/>
  <c r="Y38" i="3"/>
  <c r="BB38" i="3" s="1"/>
  <c r="Y42" i="3"/>
  <c r="Y45" i="3"/>
  <c r="Y47" i="3"/>
  <c r="Y48" i="3"/>
  <c r="Y54" i="3"/>
  <c r="Z54" i="3" s="1"/>
  <c r="Y55" i="3"/>
  <c r="Z55" i="3" s="1"/>
  <c r="Y57" i="3"/>
  <c r="Y59" i="3"/>
  <c r="Y62" i="3"/>
  <c r="Z62" i="3" s="1"/>
  <c r="Y63" i="3"/>
  <c r="Z63" i="3" s="1"/>
  <c r="Y64" i="3"/>
  <c r="Z64" i="3" s="1"/>
  <c r="Y71" i="3"/>
  <c r="Z71" i="3" s="1"/>
  <c r="Y73" i="3"/>
  <c r="Z73" i="3" s="1"/>
  <c r="Y75" i="3"/>
  <c r="BB75" i="3" s="1"/>
  <c r="Y77" i="3"/>
  <c r="Y79" i="3"/>
  <c r="Y85" i="3"/>
  <c r="Y86" i="3"/>
  <c r="Y87" i="3"/>
  <c r="Z87" i="3" s="1"/>
  <c r="BA12" i="3"/>
  <c r="P50" i="3"/>
  <c r="P89" i="3" s="1"/>
  <c r="BC75" i="3" l="1"/>
  <c r="BD75" i="3"/>
  <c r="Z29" i="3"/>
  <c r="BB68" i="3"/>
  <c r="BA68" i="3"/>
  <c r="Z79" i="3"/>
  <c r="BB79" i="3"/>
  <c r="BA79" i="3"/>
  <c r="Z59" i="3"/>
  <c r="BB59" i="3"/>
  <c r="BA59" i="3"/>
  <c r="Z48" i="3"/>
  <c r="BA48" i="3"/>
  <c r="BE48" i="3" s="1"/>
  <c r="BB48" i="3"/>
  <c r="Z38" i="3"/>
  <c r="BA38" i="3"/>
  <c r="BE38" i="3" s="1"/>
  <c r="Z26" i="3"/>
  <c r="BB26" i="3"/>
  <c r="BA26" i="3"/>
  <c r="Z13" i="3"/>
  <c r="BA13" i="3"/>
  <c r="BB13" i="3"/>
  <c r="BA42" i="3"/>
  <c r="BB42" i="3"/>
  <c r="BB64" i="3"/>
  <c r="BA64" i="3"/>
  <c r="BA33" i="3"/>
  <c r="BB33" i="3"/>
  <c r="Z77" i="3"/>
  <c r="BB77" i="3"/>
  <c r="BA77" i="3"/>
  <c r="Z57" i="3"/>
  <c r="Z47" i="3"/>
  <c r="BA47" i="3"/>
  <c r="BB47" i="3"/>
  <c r="Z25" i="3"/>
  <c r="BB25" i="3"/>
  <c r="BA25" i="3"/>
  <c r="BA21" i="3"/>
  <c r="BB21" i="3"/>
  <c r="BA45" i="3"/>
  <c r="BA32" i="3"/>
  <c r="BB32" i="3"/>
  <c r="BB19" i="3"/>
  <c r="BA19" i="3"/>
  <c r="Z75" i="3"/>
  <c r="BA75" i="3"/>
  <c r="Z45" i="3"/>
  <c r="Z22" i="3"/>
  <c r="BB22" i="3"/>
  <c r="Z15" i="3"/>
  <c r="BA15" i="3"/>
  <c r="BB15" i="3"/>
  <c r="BB73" i="3"/>
  <c r="BA73" i="3"/>
  <c r="BB61" i="3"/>
  <c r="BA61" i="3"/>
  <c r="BB71" i="3"/>
  <c r="BA71" i="3"/>
  <c r="BB63" i="3"/>
  <c r="BA63" i="3"/>
  <c r="BB78" i="3"/>
  <c r="BA78" i="3"/>
  <c r="BA62" i="3"/>
  <c r="BB62" i="3"/>
  <c r="BB31" i="3"/>
  <c r="BA31" i="3"/>
  <c r="Z42" i="3"/>
  <c r="Z14" i="3"/>
  <c r="BB14" i="3"/>
  <c r="BA14" i="3"/>
  <c r="Z19" i="3"/>
  <c r="Z21" i="3"/>
  <c r="AN59" i="3"/>
  <c r="AO59" i="3"/>
  <c r="AM59" i="3"/>
  <c r="AN47" i="3"/>
  <c r="AO47" i="3"/>
  <c r="AM47" i="3"/>
  <c r="AO83" i="3"/>
  <c r="AN83" i="3"/>
  <c r="AM83" i="3"/>
  <c r="AO75" i="3"/>
  <c r="AM75" i="3"/>
  <c r="AN75" i="3"/>
  <c r="AN67" i="3"/>
  <c r="AM67" i="3"/>
  <c r="AN38" i="3"/>
  <c r="AO38" i="3"/>
  <c r="AM38" i="3"/>
  <c r="AN30" i="3"/>
  <c r="AO30" i="3"/>
  <c r="AM30" i="3"/>
  <c r="AN26" i="3"/>
  <c r="AO26" i="3"/>
  <c r="AM26" i="3"/>
  <c r="AN18" i="3"/>
  <c r="AO18" i="3"/>
  <c r="AM18" i="3"/>
  <c r="Z85" i="3"/>
  <c r="AO85" i="3"/>
  <c r="AN85" i="3"/>
  <c r="AM85" i="3"/>
  <c r="AN58" i="3"/>
  <c r="AO58" i="3"/>
  <c r="AM58" i="3"/>
  <c r="AN42" i="3"/>
  <c r="AO42" i="3"/>
  <c r="AM42" i="3"/>
  <c r="AN82" i="3"/>
  <c r="AO82" i="3"/>
  <c r="AM82" i="3"/>
  <c r="AN78" i="3"/>
  <c r="AO78" i="3"/>
  <c r="AM78" i="3"/>
  <c r="AN74" i="3"/>
  <c r="AO74" i="3"/>
  <c r="AM74" i="3"/>
  <c r="AN70" i="3"/>
  <c r="AO70" i="3"/>
  <c r="AM70" i="3"/>
  <c r="AN66" i="3"/>
  <c r="AO66" i="3"/>
  <c r="AM66" i="3"/>
  <c r="AN62" i="3"/>
  <c r="AO62" i="3"/>
  <c r="AM62" i="3"/>
  <c r="AO53" i="3"/>
  <c r="AN53" i="3"/>
  <c r="AM53" i="3"/>
  <c r="AO37" i="3"/>
  <c r="AN37" i="3"/>
  <c r="AM37" i="3"/>
  <c r="BA37" i="3" s="1"/>
  <c r="AO33" i="3"/>
  <c r="AN33" i="3"/>
  <c r="AM33" i="3"/>
  <c r="AO29" i="3"/>
  <c r="AN29" i="3"/>
  <c r="AM29" i="3"/>
  <c r="AO21" i="3"/>
  <c r="AN21" i="3"/>
  <c r="AM21" i="3"/>
  <c r="AO13" i="3"/>
  <c r="AN13" i="3"/>
  <c r="AM13" i="3"/>
  <c r="U89" i="3"/>
  <c r="D95" i="3" s="1"/>
  <c r="T89" i="3"/>
  <c r="AN60" i="3"/>
  <c r="AO60" i="3"/>
  <c r="AM60" i="3"/>
  <c r="AN54" i="3"/>
  <c r="AO54" i="3"/>
  <c r="AM54" i="3"/>
  <c r="AM44" i="3"/>
  <c r="AN44" i="3"/>
  <c r="AO44" i="3"/>
  <c r="BB12" i="3"/>
  <c r="AN80" i="3"/>
  <c r="AO80" i="3"/>
  <c r="AM80" i="3"/>
  <c r="AN76" i="3"/>
  <c r="AO76" i="3"/>
  <c r="AM76" i="3"/>
  <c r="AN72" i="3"/>
  <c r="AO72" i="3"/>
  <c r="AM72" i="3"/>
  <c r="AN68" i="3"/>
  <c r="AO68" i="3"/>
  <c r="AM68" i="3"/>
  <c r="AN64" i="3"/>
  <c r="AO64" i="3"/>
  <c r="AM64" i="3"/>
  <c r="AO57" i="3"/>
  <c r="AN57" i="3"/>
  <c r="AM57" i="3"/>
  <c r="AN39" i="3"/>
  <c r="AO39" i="3"/>
  <c r="AM39" i="3"/>
  <c r="BA39" i="3" s="1"/>
  <c r="AN35" i="3"/>
  <c r="AO35" i="3"/>
  <c r="AM35" i="3"/>
  <c r="BA35" i="3" s="1"/>
  <c r="AN31" i="3"/>
  <c r="AO31" i="3"/>
  <c r="AM31" i="3"/>
  <c r="AN27" i="3"/>
  <c r="AO27" i="3"/>
  <c r="AM27" i="3"/>
  <c r="AN23" i="3"/>
  <c r="AO23" i="3"/>
  <c r="AM23" i="3"/>
  <c r="AN19" i="3"/>
  <c r="AO19" i="3"/>
  <c r="AM19" i="3"/>
  <c r="AN15" i="3"/>
  <c r="AO15" i="3"/>
  <c r="AM15" i="3"/>
  <c r="Z86" i="3"/>
  <c r="AO86" i="3"/>
  <c r="AN86" i="3"/>
  <c r="AM86" i="3"/>
  <c r="AN56" i="3"/>
  <c r="AO56" i="3"/>
  <c r="AM56" i="3"/>
  <c r="AM52" i="3"/>
  <c r="AN52" i="3"/>
  <c r="AO52" i="3"/>
  <c r="AN43" i="3"/>
  <c r="AO43" i="3"/>
  <c r="AO79" i="3"/>
  <c r="AM79" i="3"/>
  <c r="AN79" i="3"/>
  <c r="AN71" i="3"/>
  <c r="AO71" i="3"/>
  <c r="AM71" i="3"/>
  <c r="AN63" i="3"/>
  <c r="AO63" i="3"/>
  <c r="AM63" i="3"/>
  <c r="AN34" i="3"/>
  <c r="AO34" i="3"/>
  <c r="AM34" i="3"/>
  <c r="AN22" i="3"/>
  <c r="AO22" i="3"/>
  <c r="AM22" i="3"/>
  <c r="AN14" i="3"/>
  <c r="AO14" i="3"/>
  <c r="AM14" i="3"/>
  <c r="AN46" i="3"/>
  <c r="AO46" i="3"/>
  <c r="AM46" i="3"/>
  <c r="AN55" i="3"/>
  <c r="AO55" i="3"/>
  <c r="AM55" i="3"/>
  <c r="AO45" i="3"/>
  <c r="AN45" i="3"/>
  <c r="AM45" i="3"/>
  <c r="AO41" i="3"/>
  <c r="AN41" i="3"/>
  <c r="AM41" i="3"/>
  <c r="AO81" i="3"/>
  <c r="AN81" i="3"/>
  <c r="AM81" i="3"/>
  <c r="AO77" i="3"/>
  <c r="AN77" i="3"/>
  <c r="AM77" i="3"/>
  <c r="AO73" i="3"/>
  <c r="AN73" i="3"/>
  <c r="AM73" i="3"/>
  <c r="AO69" i="3"/>
  <c r="AN69" i="3"/>
  <c r="AM69" i="3"/>
  <c r="AN65" i="3"/>
  <c r="AM65" i="3"/>
  <c r="AO61" i="3"/>
  <c r="AN61" i="3"/>
  <c r="AM61" i="3"/>
  <c r="AM48" i="3"/>
  <c r="AN48" i="3"/>
  <c r="AO48" i="3"/>
  <c r="AM36" i="3"/>
  <c r="AN36" i="3"/>
  <c r="AO36" i="3"/>
  <c r="AM32" i="3"/>
  <c r="AN32" i="3"/>
  <c r="AO32" i="3"/>
  <c r="AM28" i="3"/>
  <c r="AN28" i="3"/>
  <c r="AO28" i="3"/>
  <c r="AM24" i="3"/>
  <c r="AN24" i="3"/>
  <c r="AO24" i="3"/>
  <c r="AM16" i="3"/>
  <c r="AN16" i="3"/>
  <c r="AO16" i="3"/>
  <c r="BB45" i="3"/>
  <c r="Q87" i="3"/>
  <c r="Q51" i="3"/>
  <c r="Q50" i="3"/>
  <c r="Q49" i="3"/>
  <c r="Q25" i="3"/>
  <c r="Q20" i="3"/>
  <c r="Q17" i="3"/>
  <c r="BC63" i="3" l="1"/>
  <c r="BD63" i="3"/>
  <c r="BC61" i="3"/>
  <c r="BD61" i="3"/>
  <c r="BC19" i="3"/>
  <c r="BD19" i="3"/>
  <c r="BC21" i="3"/>
  <c r="BD21" i="3"/>
  <c r="BC33" i="3"/>
  <c r="BD33" i="3"/>
  <c r="BC42" i="3"/>
  <c r="BD42" i="3"/>
  <c r="BC68" i="3"/>
  <c r="BD68" i="3"/>
  <c r="BC32" i="3"/>
  <c r="BD32" i="3"/>
  <c r="BC79" i="3"/>
  <c r="BD79" i="3"/>
  <c r="BC45" i="3"/>
  <c r="BD45" i="3"/>
  <c r="BC14" i="3"/>
  <c r="BD14" i="3"/>
  <c r="BC31" i="3"/>
  <c r="BD31" i="3"/>
  <c r="BC78" i="3"/>
  <c r="BD78" i="3"/>
  <c r="BC71" i="3"/>
  <c r="BD71" i="3"/>
  <c r="BC73" i="3"/>
  <c r="BD73" i="3"/>
  <c r="BC22" i="3"/>
  <c r="BD22" i="3"/>
  <c r="BC77" i="3"/>
  <c r="BD77" i="3"/>
  <c r="BC13" i="3"/>
  <c r="BD13" i="3"/>
  <c r="BC26" i="3"/>
  <c r="BD26" i="3"/>
  <c r="BC59" i="3"/>
  <c r="BD59" i="3"/>
  <c r="AP52" i="3"/>
  <c r="BC12" i="3"/>
  <c r="BD12" i="3"/>
  <c r="BC62" i="3"/>
  <c r="BD62" i="3"/>
  <c r="BC15" i="3"/>
  <c r="BD15" i="3"/>
  <c r="BC25" i="3"/>
  <c r="BD25" i="3"/>
  <c r="BC64" i="3"/>
  <c r="BD64" i="3"/>
  <c r="BA20" i="3"/>
  <c r="BB20" i="3"/>
  <c r="BD20" i="3" s="1"/>
  <c r="BE45" i="3"/>
  <c r="BE21" i="3"/>
  <c r="BE47" i="3"/>
  <c r="BE33" i="3"/>
  <c r="BE64" i="3"/>
  <c r="BE59" i="3"/>
  <c r="BA51" i="3"/>
  <c r="BB51" i="3"/>
  <c r="BB87" i="3"/>
  <c r="BA87" i="3"/>
  <c r="BE87" i="3" s="1"/>
  <c r="BE12" i="3"/>
  <c r="BE14" i="3"/>
  <c r="BE62" i="3"/>
  <c r="BE78" i="3"/>
  <c r="BA49" i="3"/>
  <c r="BB49" i="3"/>
  <c r="BE22" i="3"/>
  <c r="BE19" i="3"/>
  <c r="BE77" i="3"/>
  <c r="BE42" i="3"/>
  <c r="BE68" i="3"/>
  <c r="BB50" i="3"/>
  <c r="BA50" i="3"/>
  <c r="BE15" i="3"/>
  <c r="BE75" i="3"/>
  <c r="BE13" i="3"/>
  <c r="BE26" i="3"/>
  <c r="BE79" i="3"/>
  <c r="V89" i="3"/>
  <c r="R51" i="3"/>
  <c r="AN51" i="3"/>
  <c r="AO51" i="3"/>
  <c r="AM51" i="3"/>
  <c r="R87" i="3"/>
  <c r="AO87" i="3"/>
  <c r="AM87" i="3"/>
  <c r="AN87" i="3"/>
  <c r="AQ16" i="3"/>
  <c r="AX16" i="3" s="1"/>
  <c r="AP16" i="3"/>
  <c r="R49" i="3"/>
  <c r="AO49" i="3"/>
  <c r="AN49" i="3"/>
  <c r="AM49" i="3"/>
  <c r="AQ32" i="3"/>
  <c r="AP32" i="3"/>
  <c r="AS32" i="3" s="1"/>
  <c r="AQ65" i="3"/>
  <c r="AP65" i="3"/>
  <c r="AQ81" i="3"/>
  <c r="AX81" i="3" s="1"/>
  <c r="AP81" i="3"/>
  <c r="AQ22" i="3"/>
  <c r="AY22" i="3" s="1"/>
  <c r="AP22" i="3"/>
  <c r="AQ15" i="3"/>
  <c r="AX15" i="3" s="1"/>
  <c r="AP15" i="3"/>
  <c r="AQ31" i="3"/>
  <c r="AP31" i="3"/>
  <c r="AS31" i="3" s="1"/>
  <c r="AQ57" i="3"/>
  <c r="AV57" i="3" s="1"/>
  <c r="AP57" i="3"/>
  <c r="AQ64" i="3"/>
  <c r="AP64" i="3"/>
  <c r="AT64" i="3" s="1"/>
  <c r="AQ80" i="3"/>
  <c r="AR80" i="3" s="1"/>
  <c r="AP80" i="3"/>
  <c r="AQ60" i="3"/>
  <c r="AP60" i="3"/>
  <c r="AQ13" i="3"/>
  <c r="AX13" i="3" s="1"/>
  <c r="AP13" i="3"/>
  <c r="AQ37" i="3"/>
  <c r="AP37" i="3"/>
  <c r="AQ74" i="3"/>
  <c r="AP74" i="3"/>
  <c r="AQ58" i="3"/>
  <c r="AX58" i="3" s="1"/>
  <c r="AP58" i="3"/>
  <c r="AQ38" i="3"/>
  <c r="AX38" i="3" s="1"/>
  <c r="AP38" i="3"/>
  <c r="AT38" i="3" s="1"/>
  <c r="AQ75" i="3"/>
  <c r="AX75" i="3" s="1"/>
  <c r="AP75" i="3"/>
  <c r="AT75" i="3" s="1"/>
  <c r="AQ83" i="3"/>
  <c r="AX83" i="3" s="1"/>
  <c r="AP83" i="3"/>
  <c r="AT83" i="3" s="1"/>
  <c r="AQ47" i="3"/>
  <c r="AX47" i="3" s="1"/>
  <c r="AP47" i="3"/>
  <c r="AQ61" i="3"/>
  <c r="AP61" i="3"/>
  <c r="AU61" i="3" s="1"/>
  <c r="AQ77" i="3"/>
  <c r="AX77" i="3" s="1"/>
  <c r="AP77" i="3"/>
  <c r="AT77" i="3" s="1"/>
  <c r="AQ14" i="3"/>
  <c r="AX14" i="3" s="1"/>
  <c r="AP14" i="3"/>
  <c r="AQ71" i="3"/>
  <c r="AP71" i="3"/>
  <c r="AS71" i="3" s="1"/>
  <c r="AQ52" i="3"/>
  <c r="BB52" i="3" s="1"/>
  <c r="BD52" i="3" s="1"/>
  <c r="AQ56" i="3"/>
  <c r="AP56" i="3"/>
  <c r="AQ27" i="3"/>
  <c r="AX27" i="3" s="1"/>
  <c r="AP27" i="3"/>
  <c r="AQ76" i="3"/>
  <c r="AX76" i="3" s="1"/>
  <c r="AP76" i="3"/>
  <c r="AQ44" i="3"/>
  <c r="AX44" i="3" s="1"/>
  <c r="AP44" i="3"/>
  <c r="AQ54" i="3"/>
  <c r="AX54" i="3" s="1"/>
  <c r="AP54" i="3"/>
  <c r="AS54" i="3" s="1"/>
  <c r="AQ33" i="3"/>
  <c r="AP33" i="3"/>
  <c r="AT33" i="3" s="1"/>
  <c r="AQ70" i="3"/>
  <c r="AX70" i="3" s="1"/>
  <c r="AP70" i="3"/>
  <c r="AQ42" i="3"/>
  <c r="AV42" i="3" s="1"/>
  <c r="AP42" i="3"/>
  <c r="AQ30" i="3"/>
  <c r="AR30" i="3" s="1"/>
  <c r="AP30" i="3"/>
  <c r="R50" i="3"/>
  <c r="AN50" i="3"/>
  <c r="AO50" i="3"/>
  <c r="AM50" i="3"/>
  <c r="AQ28" i="3"/>
  <c r="AX28" i="3" s="1"/>
  <c r="AP28" i="3"/>
  <c r="AQ48" i="3"/>
  <c r="AZ48" i="3" s="1"/>
  <c r="AP48" i="3"/>
  <c r="AQ73" i="3"/>
  <c r="AP73" i="3"/>
  <c r="AT73" i="3" s="1"/>
  <c r="AQ45" i="3"/>
  <c r="AV45" i="3" s="1"/>
  <c r="AP45" i="3"/>
  <c r="AQ55" i="3"/>
  <c r="AX55" i="3" s="1"/>
  <c r="AP55" i="3"/>
  <c r="AS55" i="3" s="1"/>
  <c r="AQ46" i="3"/>
  <c r="AX46" i="3" s="1"/>
  <c r="AP46" i="3"/>
  <c r="AQ63" i="3"/>
  <c r="AP63" i="3"/>
  <c r="AS63" i="3" s="1"/>
  <c r="AQ79" i="3"/>
  <c r="AZ79" i="3" s="1"/>
  <c r="AP79" i="3"/>
  <c r="AQ23" i="3"/>
  <c r="AX23" i="3" s="1"/>
  <c r="AP23" i="3"/>
  <c r="AU23" i="3" s="1"/>
  <c r="AQ39" i="3"/>
  <c r="AX39" i="3" s="1"/>
  <c r="AP39" i="3"/>
  <c r="AQ72" i="3"/>
  <c r="AP72" i="3"/>
  <c r="AM40" i="3"/>
  <c r="BA40" i="3" s="1"/>
  <c r="BE40" i="3" s="1"/>
  <c r="AN40" i="3"/>
  <c r="AO40" i="3"/>
  <c r="AQ29" i="3"/>
  <c r="AV29" i="3" s="1"/>
  <c r="AP29" i="3"/>
  <c r="AQ66" i="3"/>
  <c r="AP66" i="3"/>
  <c r="AQ82" i="3"/>
  <c r="AZ82" i="3" s="1"/>
  <c r="AP82" i="3"/>
  <c r="AQ85" i="3"/>
  <c r="AV85" i="3" s="1"/>
  <c r="AP85" i="3"/>
  <c r="AQ26" i="3"/>
  <c r="AX26" i="3" s="1"/>
  <c r="AP26" i="3"/>
  <c r="R17" i="3"/>
  <c r="AO17" i="3"/>
  <c r="AN17" i="3"/>
  <c r="AP17" i="3" s="1"/>
  <c r="Q89" i="3"/>
  <c r="D94" i="3" s="1"/>
  <c r="AM17" i="3"/>
  <c r="R20" i="3"/>
  <c r="AM20" i="3"/>
  <c r="AN20" i="3"/>
  <c r="AO20" i="3"/>
  <c r="AQ24" i="3"/>
  <c r="AX24" i="3" s="1"/>
  <c r="AP24" i="3"/>
  <c r="AU24" i="3" s="1"/>
  <c r="R25" i="3"/>
  <c r="AO25" i="3"/>
  <c r="AN25" i="3"/>
  <c r="AM25" i="3"/>
  <c r="AQ36" i="3"/>
  <c r="AX36" i="3" s="1"/>
  <c r="AP36" i="3"/>
  <c r="AQ69" i="3"/>
  <c r="AP69" i="3"/>
  <c r="AQ41" i="3"/>
  <c r="AX41" i="3" s="1"/>
  <c r="AP41" i="3"/>
  <c r="AQ34" i="3"/>
  <c r="AX34" i="3" s="1"/>
  <c r="AP34" i="3"/>
  <c r="AT34" i="3" s="1"/>
  <c r="AQ43" i="3"/>
  <c r="AP43" i="3"/>
  <c r="AQ86" i="3"/>
  <c r="AP86" i="3"/>
  <c r="AS86" i="3" s="1"/>
  <c r="AQ19" i="3"/>
  <c r="AV19" i="3" s="1"/>
  <c r="AP19" i="3"/>
  <c r="AQ35" i="3"/>
  <c r="AP35" i="3"/>
  <c r="AQ68" i="3"/>
  <c r="AP68" i="3"/>
  <c r="AU68" i="3" s="1"/>
  <c r="AQ21" i="3"/>
  <c r="AV21" i="3" s="1"/>
  <c r="AP21" i="3"/>
  <c r="AQ53" i="3"/>
  <c r="AP53" i="3"/>
  <c r="AQ62" i="3"/>
  <c r="AP62" i="3"/>
  <c r="AT62" i="3" s="1"/>
  <c r="AQ78" i="3"/>
  <c r="AY78" i="3" s="1"/>
  <c r="AP78" i="3"/>
  <c r="AQ18" i="3"/>
  <c r="AX18" i="3" s="1"/>
  <c r="AP18" i="3"/>
  <c r="AQ67" i="3"/>
  <c r="AP67" i="3"/>
  <c r="AQ59" i="3"/>
  <c r="AX59" i="3" s="1"/>
  <c r="AP59" i="3"/>
  <c r="BC50" i="3" l="1"/>
  <c r="BD50" i="3"/>
  <c r="BC49" i="3"/>
  <c r="BD49" i="3"/>
  <c r="BC51" i="3"/>
  <c r="BD51" i="3"/>
  <c r="BC52" i="3"/>
  <c r="BE52" i="3"/>
  <c r="BC20" i="3"/>
  <c r="BE20" i="3"/>
  <c r="BA89" i="3"/>
  <c r="AR89" i="3"/>
  <c r="BB89" i="3"/>
  <c r="AY89" i="3"/>
  <c r="AU89" i="3"/>
  <c r="BE49" i="3"/>
  <c r="AP20" i="3"/>
  <c r="AQ17" i="3"/>
  <c r="AW17" i="3" s="1"/>
  <c r="AQ50" i="3"/>
  <c r="AX50" i="3" s="1"/>
  <c r="AP50" i="3"/>
  <c r="AQ87" i="3"/>
  <c r="AP87" i="3"/>
  <c r="AT87" i="3" s="1"/>
  <c r="AQ20" i="3"/>
  <c r="AQ25" i="3"/>
  <c r="AX25" i="3" s="1"/>
  <c r="AP25" i="3"/>
  <c r="AS25" i="3" s="1"/>
  <c r="AS89" i="3" s="1"/>
  <c r="R89" i="3"/>
  <c r="AQ40" i="3"/>
  <c r="AP40" i="3"/>
  <c r="AQ51" i="3"/>
  <c r="AX51" i="3" s="1"/>
  <c r="AP51" i="3"/>
  <c r="AT51" i="3" s="1"/>
  <c r="AT89" i="3" s="1"/>
  <c r="AQ49" i="3"/>
  <c r="AX49" i="3" s="1"/>
  <c r="AP49" i="3"/>
  <c r="BD89" i="3" l="1"/>
  <c r="AZ20" i="3"/>
  <c r="AZ89" i="3" s="1"/>
  <c r="AX20" i="3"/>
  <c r="AX89" i="3" s="1"/>
  <c r="BC89" i="3"/>
  <c r="BE89" i="3"/>
  <c r="D100" i="3" s="1"/>
  <c r="C95" i="3" l="1"/>
  <c r="C99" i="3"/>
  <c r="C100" i="3" l="1"/>
  <c r="C94" i="3" l="1"/>
  <c r="C93" i="3" l="1"/>
  <c r="D93" i="3" l="1"/>
  <c r="AP88" i="3" l="1"/>
  <c r="Y12" i="3" l="1"/>
  <c r="AM12" i="3" s="1"/>
  <c r="Z12" i="3" l="1"/>
  <c r="Z89" i="3" s="1"/>
  <c r="Y89" i="3"/>
  <c r="D96" i="3" s="1"/>
  <c r="AO12" i="3"/>
  <c r="AO89" i="3" s="1"/>
  <c r="AN12" i="3"/>
  <c r="AM89" i="3"/>
  <c r="AQ12" i="3" l="1"/>
  <c r="AV12" i="3" s="1"/>
  <c r="AV89" i="3" s="1"/>
  <c r="AP12" i="3"/>
  <c r="AP89" i="3" s="1"/>
  <c r="AN89" i="3"/>
  <c r="AQ89" i="3" l="1"/>
  <c r="K89" i="3"/>
</calcChain>
</file>

<file path=xl/sharedStrings.xml><?xml version="1.0" encoding="utf-8"?>
<sst xmlns="http://schemas.openxmlformats.org/spreadsheetml/2006/main" count="609" uniqueCount="263">
  <si>
    <t>UN</t>
  </si>
  <si>
    <t>ÍTEM</t>
  </si>
  <si>
    <t>Versión:</t>
  </si>
  <si>
    <t xml:space="preserve">Fecha de aprobación: </t>
  </si>
  <si>
    <t xml:space="preserve">Código: </t>
  </si>
  <si>
    <t>15-02-FO-0015</t>
  </si>
  <si>
    <t>FECHA</t>
  </si>
  <si>
    <t>PROCESO</t>
  </si>
  <si>
    <t>PLAZO DEL CONTRATO</t>
  </si>
  <si>
    <t>INFORME DEL ESTUDIO</t>
  </si>
  <si>
    <t>Firma:</t>
  </si>
  <si>
    <t>SUBRED INTEGRADA DE SERVICIOS DE SALUD SUR OCCIDENTE E.S.E.</t>
  </si>
  <si>
    <t>VALOR UNITARIO</t>
  </si>
  <si>
    <t>VALOR UNITARIO + IVA</t>
  </si>
  <si>
    <t>UNIDAD</t>
  </si>
  <si>
    <t>IVA</t>
  </si>
  <si>
    <t>ITEM</t>
  </si>
  <si>
    <t>PROMEDIO</t>
  </si>
  <si>
    <t xml:space="preserve">VALOR TOTAL </t>
  </si>
  <si>
    <t>VALOR MÍNIMO</t>
  </si>
  <si>
    <t>VARIACIÓN EN PESOS</t>
  </si>
  <si>
    <t>RESUMEN ESTUDIO DE MERCADO</t>
  </si>
  <si>
    <t>DESCRIPCIÓN</t>
  </si>
  <si>
    <t>VALOR</t>
  </si>
  <si>
    <t>MEDIANA</t>
  </si>
  <si>
    <t xml:space="preserve">BASE BAJA </t>
  </si>
  <si>
    <t xml:space="preserve">BASE ALTA </t>
  </si>
  <si>
    <t>DESVIACIÓN ESTANDAR</t>
  </si>
  <si>
    <t xml:space="preserve">VARIACIÓN PORCENTUAL  </t>
  </si>
  <si>
    <t>CODIGO DINAMICA</t>
  </si>
  <si>
    <t>PRESENTACIÓN</t>
  </si>
  <si>
    <t>CONSUMO PROMEDIO MES</t>
  </si>
  <si>
    <t>NUT 009</t>
  </si>
  <si>
    <t>ALIMENTO COMPLETO BAJO EN CARBOHIDRATOS POR 220-237 ML
SUSPENSION ORAL- DE 8ONZAS</t>
  </si>
  <si>
    <t>BOTELLA 200-250</t>
  </si>
  <si>
    <t>NUT005</t>
  </si>
  <si>
    <t>ALIMENTO COMPLETO DENSAMENTE CALÓRICO PARA USO ESPECIAL EN NIÑOS DE A 13 AÑOS CON REQUERIMIENTOS ENERGÉTICOS ELEVADOS Y/O RESTRICCIÓN DE VOLUMEN X 220 ML  LIQUIDO LPC 200 A 220 ML)</t>
  </si>
  <si>
    <t>NUT055</t>
  </si>
  <si>
    <t xml:space="preserve">ALIMENTO COMPLETO Y BALANCEADO PARA ALTO REQUERIMIENTO DE ENERGIA Y
PROTEINA FRASCO X 1500 ML. </t>
  </si>
  <si>
    <t>LPC 1500 ML</t>
  </si>
  <si>
    <t>NUT057</t>
  </si>
  <si>
    <t>ALIMENTO CON REQUERIMIENTOS AUMENTADOS DE CALORIAS Y NITROGENO (FRASCO X 1000 ML)  SUSPENSION ORAL</t>
  </si>
  <si>
    <t>LPC 1000ML</t>
  </si>
  <si>
    <t>NUT072</t>
  </si>
  <si>
    <t xml:space="preserve">ALIMENTO DE USO ESPECIAL COMPLETO, SEMIELEMENTAL, HIPERCALORICO, BASADO EN
PEPTIDOS , CON TRIGLICERIDOS DE CADENA MEDIA PARA PERSONAS
FUNCION GASTROINTESTINAL DETERIORADA  1,5 KCAL 200 A
220 ML </t>
  </si>
  <si>
    <t>NUT017</t>
  </si>
  <si>
    <t>ALIMENTO DE USO ESPECIAL CON HMB, ARGININA Y GLUTAMINA PARA PERSONAS CON HERIDAS DE DIFICIL CICATRIZACIÓN X 24 GPOLVO PARA SUSPENSION ORAL-</t>
  </si>
  <si>
    <t>SOBRE 24 GRAMOS</t>
  </si>
  <si>
    <t>NUT021</t>
  </si>
  <si>
    <t>FORMULA INFANTIL EN POLVO  PARA LACTANTES DE 0 A 6 MESES LATA DE 350GR A 400 GR</t>
  </si>
  <si>
    <t xml:space="preserve">LATA 350GR A  400 GR </t>
  </si>
  <si>
    <t>NUT019</t>
  </si>
  <si>
    <t>ALIMENTO LÍQUIDO COMPLETO Y BALANCEADO CON HMB FRASCO 8 ONZAS SUSPENSION ORAL-</t>
  </si>
  <si>
    <t>BOTELLA</t>
  </si>
  <si>
    <t>NUT009</t>
  </si>
  <si>
    <t xml:space="preserve">ALIMENTO LIQUIDO HIPERPROTEICO PARA DIABETES PARA NUTRICION
ENTERAL </t>
  </si>
  <si>
    <t>NUT062</t>
  </si>
  <si>
    <t xml:space="preserve">ALIMENTO PARA PROPOSITOS MEDICOS ESPECIALES DE PACIENTES CON ENFERMEDAD
RENAL CRONICA EN ESTADO 5 </t>
  </si>
  <si>
    <t>LATA 237</t>
  </si>
  <si>
    <t>NUT089</t>
  </si>
  <si>
    <t>FORMULA HIPERPROTEICA DENSAMENTE CALORICA CON HMB Y ALTO CONTENIDO D EVITAMINA D</t>
  </si>
  <si>
    <t>FRASCO 200ML  A 250ML</t>
  </si>
  <si>
    <t>NUT083</t>
  </si>
  <si>
    <t xml:space="preserve">FORMULA INFANTIL CON HIERRO SIN LACTOSA PARA LACTANTE 0 A 12
MESES </t>
  </si>
  <si>
    <t>LATA 375 GRAMOS</t>
  </si>
  <si>
    <t>NUT069</t>
  </si>
  <si>
    <t>FORMULA INFANTIL EN POLVO  PARA LACTANTES DE 0 A 6 MESES LATA DE 800GR A 850 GR</t>
  </si>
  <si>
    <t>LATA DE 800GR A 850 GR</t>
  </si>
  <si>
    <t>NUT071</t>
  </si>
  <si>
    <t xml:space="preserve">NUTRICION LIQUIDA COMPLETA PARA PACIENTE RENAL SIN DIALISIS LATA DE 200 A 237 ML </t>
  </si>
  <si>
    <t>LATA</t>
  </si>
  <si>
    <t>NUT033</t>
  </si>
  <si>
    <t>FORMULA INTOLERANCIA A LOS CARBOHIDRATOS DE 1KCAL LPC 1500</t>
  </si>
  <si>
    <t>ALIMENTO EN POLVO A BASE DE MALTODEXTRINA, AMINOÁCIDOS, ÁCIDOS GRASOS, VITAMINAS Y MINERALES PARA REGÍMENES ESPECIALES  SOBRES DE 131 G.</t>
  </si>
  <si>
    <t>SOBRE 131 GRAMOS</t>
  </si>
  <si>
    <t>NUT066</t>
  </si>
  <si>
    <t>ALIMENTO GLUTAMINA Y LACTOBACILLUS 15 GR</t>
  </si>
  <si>
    <t>SOBRE 15 GRAMOS</t>
  </si>
  <si>
    <t>NUT013</t>
  </si>
  <si>
    <t xml:space="preserve">ALIMENTO LIQUIDO HIPERPROTEICO PARA PACIENTE DIABETICO (INTOLERANCIA A LOS CARBOHIDRATOS X 8 ONZ - </t>
  </si>
  <si>
    <t>ULTRAPACK</t>
  </si>
  <si>
    <t>NUT108</t>
  </si>
  <si>
    <t>ESPESANTE DE ALIMENTOS -ALMIDON DE MAIZ MODIFICADO 200 A 300 GR</t>
  </si>
  <si>
    <t>NUT047</t>
  </si>
  <si>
    <t>AMINOÁCIDOS ESENCIALES SIN ELECTROLITOS (PEDIATRICOS) 10G/100 ML SOLUCION INYECTABLE</t>
  </si>
  <si>
    <t>MILILITRO</t>
  </si>
  <si>
    <t>NUT046</t>
  </si>
  <si>
    <t xml:space="preserve">AMINOACIDOS ESENCIALES SIN ELECTROLITOS AL 10 %  PARA ADULTO POR 500 ML
SOLUCION INYECTABLE
</t>
  </si>
  <si>
    <t>NUT061</t>
  </si>
  <si>
    <t xml:space="preserve">FORMULA ENTERAL ALTA EN PROTEINAS BAJA EN
CARBOHIDRATOS (PARA ENFERMEDAD PULMONAR CRÓNICA) X 8 ONZAS COMPLEJA - </t>
  </si>
  <si>
    <t>TETRA PACK</t>
  </si>
  <si>
    <t>NUT026</t>
  </si>
  <si>
    <t>FORMULA LACTEA CON HIERRO Y PROTEINA DE SUERO EXTENSAMENTE HIDROLIZADA PARA LACTANTES CON INTOLERANCIA A LA PROTEINA A LA LECHE DE VACA O INTOLERANCIA ALIMENTARIA DE LEVE A MODERADA O DEFICIT DE MALABSORCION LATA
*400G POLVO PARA RECONSTITUIR A SUSPENSION ORAL</t>
  </si>
  <si>
    <t>LATA 400 GRAMOS</t>
  </si>
  <si>
    <t>NUT070</t>
  </si>
  <si>
    <t xml:space="preserve">FORMULA LACTEA PARA PREMATUROS LIQUIDA DE 30 KCAL 152 
</t>
  </si>
  <si>
    <t>BOTELLA 59 ML</t>
  </si>
  <si>
    <t>NUT107</t>
  </si>
  <si>
    <t xml:space="preserve">AISLADO DE PROTEINAS DE SUERO DE LECHE COMO ÚNICA FUENTE PROTEICA EN POLVO X 400 A 450 GR </t>
  </si>
  <si>
    <t>LATA X 400 A 450 GR</t>
  </si>
  <si>
    <t>NUT054</t>
  </si>
  <si>
    <t>AISLADO PURO DE PROTEINA.</t>
  </si>
  <si>
    <t xml:space="preserve">LATA DE 320  A 400 GR </t>
  </si>
  <si>
    <t>NUT052</t>
  </si>
  <si>
    <t>ALIMENTO A BASE PROTEINAS, VITAMINAS Y MINERALES PARA NIÑOS ENTRE 2 A 13 AÑOS (LATA X 8 ONZ)SUSPENSIÓN ORAL 1 KCAL</t>
  </si>
  <si>
    <t>NUT084</t>
  </si>
  <si>
    <t xml:space="preserve">ALIMENTO AISLADO PURO DE PROTEINA SUERO MALTODEXTRINA </t>
  </si>
  <si>
    <t xml:space="preserve">SOBRE DE  30 GR A 36 GR </t>
  </si>
  <si>
    <t>NUT008</t>
  </si>
  <si>
    <t xml:space="preserve">ALIMENTO COMPLETO BAJO EN CARBOHIDRATOS PEDIATRICO (DERIVADO DE PROTEÍNA DE SUERO LÁCTEO Y AISLADO DE PROTEÍNA DE SOYA - LATA X 400GR) POLVO PARA SUSPENSIÓN ORAL </t>
  </si>
  <si>
    <t>NUT102</t>
  </si>
  <si>
    <t xml:space="preserve">ALIMENTO COMPLETO DENSAMENTE CALORICO PARA USO ESPECIAL EN NIÑOS DE 12 A 13 AÑOS CON REQUERIMIENTOS ENERGÉTICOS ELEVADOS Y/O RESTRICCION DE VOLUMEN POR 500 ML LPC - </t>
  </si>
  <si>
    <t>LPC 500 ML</t>
  </si>
  <si>
    <t>NUT117</t>
  </si>
  <si>
    <t>ALIMENTO COMPLETO Y BALANCEADO (ALIMENTO A BASE DE CARBOHIDRATO, GRASA Y PROTEINAS 237 A 250 ML) SUSPENSION ORAL -</t>
  </si>
  <si>
    <t>BOTELLA 220-250</t>
  </si>
  <si>
    <t>NUT010</t>
  </si>
  <si>
    <t xml:space="preserve">ALIMENTO COMPLETO Y BALANCEADO (DERIVADO DE PROTEÍNA DE SUERO LÁCTEO Y AISLADO DE PROTEÍNA DE SOYA PARA PACIENTES ADULTOS- LATA X 400GR) POLVO PARA SUSPENSION ORAL </t>
  </si>
  <si>
    <t>NUT025</t>
  </si>
  <si>
    <t xml:space="preserve">ALIMENTO CON BASE EN AISLADO DE PROTEÍNA DE SUERO CON AMINOÁCIDOS ESENCIALES Y NO ESENCIALES, MÁS MALTODEXTRINA, ÁCIDOS GRASOS VEGETALES, FRUTOOLIGOSACARIDOS, VITAMINAS Y MINERALES, </t>
  </si>
  <si>
    <t>LATA  460</t>
  </si>
  <si>
    <t>NUT067</t>
  </si>
  <si>
    <t xml:space="preserve">ALIMENTO HIPERPROTEICO DENSAMENTE CALORICO PARA USO ESPECIAL EN PACIENTES CON RESTRICCION DE VOLUMENX 125 ML - </t>
  </si>
  <si>
    <t>BOTELLA 125 ML</t>
  </si>
  <si>
    <t>NUT060</t>
  </si>
  <si>
    <t xml:space="preserve">ALIMENTO ISOTOONICO COMPLETO Y BALANCEADA PARA NUTRICION ENTERAL LPC (FRASCO X 500 ML) </t>
  </si>
  <si>
    <t>NUT105</t>
  </si>
  <si>
    <t>ALIMENTO LÍQUIDO PARA PROPÓSITOS MÉDICOS ESPECIALES, COMPLETO Y BALANCEADO, PARA PACIENTES QUE REQUIEREN NUTRICIÓN ENTERAL POR SONDA A CORTO O LARGO PLAZO –  250 ML</t>
  </si>
  <si>
    <t>NUT131</t>
  </si>
  <si>
    <t>FRASCO</t>
  </si>
  <si>
    <t>NUT028</t>
  </si>
  <si>
    <t>FORMULA LACTEA EN POLVO ENRIQUECIDA CON VITAMINAS Y MINERALES PARA ESTABILIZAR A LOS PACIENTES DURANTE LA FASE 1 DEL TRATAMIENTO DE LA DESNUTRICION AGUDA SEVERASOBRE 102,5 F75</t>
  </si>
  <si>
    <t>NUT036</t>
  </si>
  <si>
    <t>FORMULA TERAPEUTICA LISTA PARA CONSUMIR A BASE DE MANI Y LIPIDOS CON VITAMINAS Y MINERALES PARA REHABILITACION NUTRICIONAL DE PACIENTES CON DESNUTRICION AGUDA SEVERA SOBRE X 92 GRS-PUMPLYNUT</t>
  </si>
  <si>
    <t>SOBRE 92 GRAMOS</t>
  </si>
  <si>
    <t>NUT078</t>
  </si>
  <si>
    <t>FRESUBIN HP ENERGY * 500ML FRESENIUS</t>
  </si>
  <si>
    <t>BOLSA</t>
  </si>
  <si>
    <t>NUT065</t>
  </si>
  <si>
    <t>MULTIVITAMINAS PARENTERALES PEDIATRICAS (ACIDO ASCORBICO 80MG,VIT A 2.300UI,VIT D 400UI,TIAMINA 1,2MG,RIBOFLAVINA 1,4MG,PIRIDOXINA 1MG,NIACINAMIDA 17MG,D-PANTENOL 5MG,VIT E 7UI,VIT K1 0,2MG,BIOTINA 20MCG,ACIDO FOLICO 140MCG,VIT B12 1MCG).   USO PARENTERAL</t>
  </si>
  <si>
    <t>NUT076</t>
  </si>
  <si>
    <t xml:space="preserve"> CEREAL TRIGO MIEL X 200G</t>
  </si>
  <si>
    <t>CAJA 200GRAMOS</t>
  </si>
  <si>
    <t>NUT037</t>
  </si>
  <si>
    <t>NUTRICION ESPECIALIZADA CON ARGININA PARA PACIENTES CON ESTRÉS METABOLICO LPC X 1000 CC -</t>
  </si>
  <si>
    <t>LPC 1000 ML</t>
  </si>
  <si>
    <t>NUT090</t>
  </si>
  <si>
    <t xml:space="preserve">POLIAMINOACIDOS, GLUCOSA Y EMULSION LIPIDICA CON ELECTROLITOS. (N9E) 1500- 2000                                                         (EMULSION PARA PERFUSION PARA ADMINISTRACION POR VIA CENTRAL LISTA PARA USAR BOLSA X 1500 CC - 2000 CC  </t>
  </si>
  <si>
    <t>NUT018</t>
  </si>
  <si>
    <t>ARGININA/PROTEÍNA 15 GRAMOS SABOR CEREZA CONTIENE 5 GRAMOS DE PROTEÍNA DE SUERO LACTEO-45 GRAMOS DE ARGININA AA LIBRES MEJORA LA CICATRIZACIÓN DE HERIDAS MAYOR APORTE DE COLÁGENO E IRRIGACIÓN FAVORECE EL PERFIL INMUNOLÓGICO PREVINIENDO INFECCIONES Y PROMUEVE EL BALANCE DE NITRÓGENO POSITIVO PRESERVANDO LA MASA MAGRA</t>
  </si>
  <si>
    <t>CAJA X 50 SOBRE</t>
  </si>
  <si>
    <t>NUT156</t>
  </si>
  <si>
    <t xml:space="preserve">ALIMENTO LÍQUIDO PARA PROPÓSITO MEDICO ESPECIALES, POLIMÉRICO, HIPERPROTEICA A BASE DE LÍPIDOS, VITAMINAS, MINERAS Y PREBIÓTICOS </t>
  </si>
  <si>
    <t>BOTELLA DE 200ML</t>
  </si>
  <si>
    <t>NUT064</t>
  </si>
  <si>
    <t xml:space="preserve">FÓRMULA PARA EL MANEJO NUTRICIONAL DE ALERGIAS DE LA PROTEÍNA DE VACA SIN LACTOSA </t>
  </si>
  <si>
    <t>MED782</t>
  </si>
  <si>
    <t>SOLUCIÓN CONCENTRADA DE GLICEROFOSFATO DE SODIO (FUENTE ORGÁNICA QUE DISMINUYE EL RIESGO DE FORMACIÓN DE PRECIPITADOS AL ADICIONARSE UNA FUENTE DE CALCIO)</t>
  </si>
  <si>
    <t>AMPOLLA POR 20 ML</t>
  </si>
  <si>
    <t>NUT011</t>
  </si>
  <si>
    <t>ALIMENTO CON PROTEÍNA DE SOYA PARA PACIENTES ADULTOS DIABÉTICOS
- LATA X 400 GR) POLVO PARA SUSPENSION ORAL</t>
  </si>
  <si>
    <t>NUT045</t>
  </si>
  <si>
    <t>ALIMENTO LACTEO EN POLVO PARA NIÑOS EN CRECIMIENTO CON DHA Y
PREBIOTICOS  800 G  TARRO ETAPA 3</t>
  </si>
  <si>
    <t>LATA 800 G</t>
  </si>
  <si>
    <t>NUT106</t>
  </si>
  <si>
    <t>ALIMENTO LÍQUIDO PARA PROPÓSITOS MÉDICOS ESPECIALES, COMPLETO Y BALANCEADO, PARA PACIENTES QUE REQUIEREN NUTRICIÓN ENTERAL POR
SONDA A CORTO O LARGO PLAZO 1.0 X 250 ML</t>
  </si>
  <si>
    <t>NUT043</t>
  </si>
  <si>
    <t>ELEMENTOS TRAZA OLIGOELEMENTOS ADULTOS AMPOLLA POR 10 ML
SOLUCION INYECTABLE - NULANZA  VARIOS SOLUCION CONCENTRADA PARA INFUSION</t>
  </si>
  <si>
    <t>NUT077</t>
  </si>
  <si>
    <t>ELEMENTOS TRAZA PEDIATRICO X 10 ML FRASCO</t>
  </si>
  <si>
    <t>NUT022</t>
  </si>
  <si>
    <t>FORMULA HIPOALERGENICA CON PROTEINA EXTENSAMENTE
HIDROLIZADA, HIERRO Y LC PUFA EN POLVO PARA LACTANTES LATA X 400 GRS-ALIMENTUM</t>
  </si>
  <si>
    <t>NUT023</t>
  </si>
  <si>
    <t>FORMULA INFANTIL CON HIERRO Y ACIDOS GRASOS POLIINSATURADOS DE CADENA LARGA PARA LACTANTES
PREMATUROS DE BAJO PESO AL NACER 24 KCAL 2 ONZ SUSPENSION ORAL</t>
  </si>
  <si>
    <t>BOTELLA DE 59 ML</t>
  </si>
  <si>
    <t>NUT024</t>
  </si>
  <si>
    <t>FÓRMULA INFANTIL HIPOALERGÉNICA CON AMINOÁCIDOS, HIERRO Y DHA LATA 400 G LATA 400 G -</t>
  </si>
  <si>
    <t>NUT030</t>
  </si>
  <si>
    <t>FORMULA LACTEA PARA DEFICIT DE CRECIMIENTO PARA MENORES DE 1 AÑO LATA 400 G -</t>
  </si>
  <si>
    <t>NUT087</t>
  </si>
  <si>
    <t xml:space="preserve">FORMULA INFANTIL LIQUIDA  PARA LACTANTES DE 0-6 MESES </t>
  </si>
  <si>
    <t>BOTELLA 2 ONZAS  ML</t>
  </si>
  <si>
    <t>NUT034</t>
  </si>
  <si>
    <t>FORMULA NUTRICIONAL COMPLETA DE BAJO CONTENIDO LIPIDICO A BASE DE PROTEÍNAS DEL SUERO DE LECHE DE VACA SUPLEMENTADA CON AMINOÁCIDOS HIDRATOS DE CARBONO VITAMINAS MINERALES Y
OLIGOELEMENTOS. POLVO PARA RECONSTITUIR A SUSPENSION ORAL</t>
  </si>
  <si>
    <t>MED062</t>
  </si>
  <si>
    <t xml:space="preserve">LIPIDOS EMULSIONADOS DE CADENA MEDIA AL 20% Y ACEITE DE PESCADO REFIJADO CON OMEGA 3 POR 250 MIL  </t>
  </si>
  <si>
    <t>NUT051</t>
  </si>
  <si>
    <t>MICRONUTRIENTES ORGÁNICOS ESENCIALES - MULTIVITAMINA
PEDIATRICA USO PARENTERAL</t>
  </si>
  <si>
    <t>NUT079</t>
  </si>
  <si>
    <t>MULTIVITAMINAS ADULTO LIPOSOLUBLES X 10 ML</t>
  </si>
  <si>
    <t>NUT140</t>
  </si>
  <si>
    <t>MULTIVITAMINAS Y MINERALES COMBINADOS-USO PARENTERALADULTO</t>
  </si>
  <si>
    <t>AMPOLLA</t>
  </si>
  <si>
    <t>NUT135</t>
  </si>
  <si>
    <t xml:space="preserve">NUTRICION PARENTERAL ADULTO CON LIPIDOS PARA ADMINISTRACION POR VIA CENTRAL LISTAR PARA USAR BOLSAX 1500 CC  </t>
  </si>
  <si>
    <t>BOLSA 1500</t>
  </si>
  <si>
    <t>NUT101</t>
  </si>
  <si>
    <t>PROTEÍNA LIQUIDA 1 ONZA 30 ML SOBRE NEUTRO 15 GRAMOS PROTEÍNA LIQUIDA A BASE DE COLÁGENO HIDROLIZADO EN FORMA DE PÉPTIDO Y ASILADO DE PROTEÍNA DE SUERO LATEO CON REQUERIMIENTO AUMENTADO DE PROTEÍNA, DESNUTRICIÓN PROTEICO
CALÓRICA Y/O CAQUEXIA ALTO GRADO DE ESTRÉS METABÓLICO
CICATRIZACIÓN DE HERIDAS COMPLICADAS QUEMADURAS DE GRADO
2 Y 3 CÁNCER Y VIH</t>
  </si>
  <si>
    <t>SOBRE X 30 ML</t>
  </si>
  <si>
    <t>NUTRICIÓN COMPLETA Y CONTROLADA EN HIDRATOS DE CARBONO  UNFLAVORED TPSM 24 X 250 ML N2XI</t>
  </si>
  <si>
    <t>NUT012</t>
  </si>
  <si>
    <t xml:space="preserve">NUTRICIÓN COMPLETA ESPECIAL PARA PACIENTES CON PATOLOGÍA PULMONAR Y RETENCIÓN DE CO2 </t>
  </si>
  <si>
    <t>NUT139</t>
  </si>
  <si>
    <t>SOLUCIÓN DE AMINOÁCIDOS CON TAURINA, TIROSINA, HISTIDINA, CISTEÍNA, PARA PACIENTES NEONATOS Y PEDIÁTRICOS                                                                                                          PRIMENE 10 % GL 250 ML  LATIN PEDIATRICO</t>
  </si>
  <si>
    <t>MED063</t>
  </si>
  <si>
    <t>ÁCIDOS GRASOS 20% X 500 ML EMULSIÓN INYECTABLE CLINOLEIC 20 %  500  ML MONOBAGS</t>
  </si>
  <si>
    <t>NUT058</t>
  </si>
  <si>
    <t>ALIMENTO PARA USOS NUTRICIONALES ESPECIALES A BASE DE AMINOACIDOS LIBRES 100 % SISTETICOS, PARA EL MANEJO DE LA ALERGIA A LA PROTEINA DE LA LECHE DE VACA (APLV), ALERGIA ALIMENTARIA MULTIPLE Y OTROS CASOS DONDE SE REQUIERA UNA ALIMENTACION ELEMENTAL, ESTA RESPALDADA CIENTIFICAMENTE.  LCP</t>
  </si>
  <si>
    <t>NUT104</t>
  </si>
  <si>
    <t xml:space="preserve">FORMULA PARA BEBES PREMATUROS Y/OCON BAJO PESO AL NACAER DE  0 A 12 MESES </t>
  </si>
  <si>
    <t xml:space="preserve">LATA DE 370 GR  A 400 GR </t>
  </si>
  <si>
    <t>NUT063</t>
  </si>
  <si>
    <t xml:space="preserve">FORMULA PARA NIÑOS DE 6 A 24 MESES LATA DE 400 A 850 </t>
  </si>
  <si>
    <t xml:space="preserve">LATA DE 400 A 850 </t>
  </si>
  <si>
    <t>MICRONUTRITIENTES EN POLVO</t>
  </si>
  <si>
    <t>SOBRE 1 GRAMO, CAJA DE 30 SOBRES</t>
  </si>
  <si>
    <t xml:space="preserve">ALIMENTO LIQUIDO PARA PROPOSITOS MEDICOS ESPECIALES A BASE DE ALMIDON DE MAIZ HIDROLIZADO, POLIMERICO,HIPERPROTEICO,CON EPA,Y FOS,PARA SOPORTE NUTRICIONAL POR VIA ORAL O SONDA DE PERSONAS A PARTIR DE 14 AÑOS </t>
  </si>
  <si>
    <t>BOTELLA POR 220ML</t>
  </si>
  <si>
    <t>NUT158</t>
  </si>
  <si>
    <t xml:space="preserve">ALIMENTO LIQUIDO PARA PROPOSITOS MEDICOS ESPECIALES OLIGOMERICO, HIPERPROTEICO,HIPERCALORICO,A BASE DE SOLICOS DE JARABE DE MAIOZ Y PROTEINA HIDROLIZADA,CON EPA DHA,PARA ALIMENTACION CON SONDA PARA ADULTOS CON DESNUTROICION PROTEICOCALORICA MODERADA O SEVERA </t>
  </si>
  <si>
    <t>BOTELLA  LPC 1000  ML</t>
  </si>
  <si>
    <t xml:space="preserve">ALIMENTO PARA PROPOSITO MEDICOS ESPECIALES  POLIMERICO HIPERCALORICO DE 2KCL </t>
  </si>
  <si>
    <t xml:space="preserve"> FORTIFICADOR DE LA LECHE MATERNA PARA LACTANTES PREMATUROS</t>
  </si>
  <si>
    <t>BOTELLA 200 ML</t>
  </si>
  <si>
    <t xml:space="preserve">CAJA X 200 </t>
  </si>
  <si>
    <t>MEDICOX LTDA</t>
  </si>
  <si>
    <t>DISCOLMEDICA S.A.S</t>
  </si>
  <si>
    <t xml:space="preserve">	LIFESUMIMED SAS</t>
  </si>
  <si>
    <t>FARMAPOS LTDA</t>
  </si>
  <si>
    <t>RAFAEL ANTONIO SALAMANCA</t>
  </si>
  <si>
    <t>VIOLOGIKA PHARMA SAS</t>
  </si>
  <si>
    <t xml:space="preserve">FORMULA LACTEA PARA PREMATUROS LIQUIDA DE 30 KCAL 152 </t>
  </si>
  <si>
    <t>AMINOACIDOS ESENCIALES SIN ELECTROLITOS AL 10 %  PARA ADULTO POR 500 ML
SOLUCION INYECTABLE</t>
  </si>
  <si>
    <t>ARTIFICIALIDAD ALTA LIFESUMIMED SAS</t>
  </si>
  <si>
    <t>PROVEEDOR
CTO. NUMERO</t>
  </si>
  <si>
    <t>HISTÓRICO CONTRATOS
DISCOLMEDICA S.A.S - CTO. 4347-2023
FARMAPOS LTDA - CTO. 4348-2023
MEGALAB - CTO. 4350-2023
RAFAEL ANTONIO SALAMANCA - CTO. 4351-2023
PHARMAPLUS - CTO. 4352-2023</t>
  </si>
  <si>
    <t>PHARMAPLUS CTO. 4352-2023</t>
  </si>
  <si>
    <t>DISCOLMEDICA S.A.S CTO. 4347-2023</t>
  </si>
  <si>
    <t>MEGALAB - CTO. 4350-2023</t>
  </si>
  <si>
    <t>RAFAEL ANTONIO SALAMANCA - CTO. 4351-2023</t>
  </si>
  <si>
    <t>FARMAPOS LTDA - CTO. 4348-2023</t>
  </si>
  <si>
    <t>ARTIFICIALIDAD ALTA DISCOLMEDICA S.A.S</t>
  </si>
  <si>
    <t>ARTIFICIALIDAD ALTA FARMAPOS LTDA</t>
  </si>
  <si>
    <t>ARTIFICIALIDAD BAJA LIFESUMIMED SAS</t>
  </si>
  <si>
    <t>ARTIFICIALIDAD BAJA VIOLOGIKA PHARMA SAS</t>
  </si>
  <si>
    <t>ARTIFICIALIDAD BAJA DISCOLMEDICA S.A.S</t>
  </si>
  <si>
    <t>ARTIFICIALIDAD BAJA FARMAPOS LTDA</t>
  </si>
  <si>
    <t>ARTIFICIALIDAD ALTA RAFAEL ANTONIO SALAMANCA</t>
  </si>
  <si>
    <t>CONTRATAR EL SUMINISTRO DE ALIMENTOS Y NUTRICIONES ENTERALES Y PARENTERALES NECESARIOS PARA LA NORMAL PRESTACIÓN DE LOS SERVICIOS DE SALUD, A LOS USUARIOS HOSPITALIZADOS Y DE URGENCIAS DE LA SUBRED INTEGRADA DE SERVICIOS DE SALUD SUR OCCIDENTE E.S.E.</t>
  </si>
  <si>
    <t>Agosto de 2023</t>
  </si>
  <si>
    <t>Tres (03) meses</t>
  </si>
  <si>
    <t>ESTUDIO DE MERCADO  EM-294-2023</t>
  </si>
  <si>
    <t>TOTALES</t>
  </si>
  <si>
    <t xml:space="preserve"> </t>
  </si>
  <si>
    <t>ARTITIFICIALIDAD ALTA MEDICOX LTDA</t>
  </si>
  <si>
    <t>CÁLCULOS</t>
  </si>
  <si>
    <t>PRECIO TECHO UNITARIO</t>
  </si>
  <si>
    <t xml:space="preserve">El día 11 de julio de 2023, se solicitaron cotizaciones por medio del SECOP II. La fecha máxima para remitirlas era el 14 de julio de 2023.  Al publicar el proceso, la Subred se evidencia que ciento veintidós (122) proveedores pertenecen al sector objeto del estudio, de ellos siete (07) expresan su interés y seis (06) presentan su cotización al proceso. 
</t>
  </si>
  <si>
    <r>
      <rPr>
        <b/>
        <sz val="8"/>
        <color theme="1"/>
        <rFont val="Arial"/>
        <family val="2"/>
      </rPr>
      <t>ANÁLISIS DE MERCADO:</t>
    </r>
    <r>
      <rPr>
        <sz val="8"/>
        <color theme="1"/>
        <rFont val="Arial"/>
        <family val="2"/>
      </rPr>
      <t xml:space="preserve"> El día 11 de julio de 2023, se solicitaron cotizaciones por medio del SECOP II. La fecha máxima para remitirlas era el 14 de julio de 2023.  Al publicar el proceso, la Subred se evidencia que ciento veintidós (122) proveedores pertenecen al sector objeto del estudio, de ellos siete (07) expresan su interés y seis (06) presentan su cotización al proceso. 
De la verificación llevada a cabo se concluye:
1. Se revisó inicialmente la base de datos de la Dirección de Contratación y se identificaron los siguientes contratos históricos: 4347-2023 (DISCOLMEDICA), 4348-2023 (FARMAPOS LTDA), 4350-2023 (MEGALAB), 4351-2023 (Rafael Antonio Salamanca), 4352-2023 (PHARMAPLUS)
2. Estando dentro del término estipulado en el SECOP II, se recibieron seis (06) cotizaciones por parte de los siguientes proveedores: MEDICOX LTDA, DISCOLMEDICA S.A.S., LIFESUMIMED SAS, FARMAPOS LTDA, RAFAEL ANTONIO SALAMANCA y VIOLOGIKA PHARMA SAS.
3. De conformidad a la cotizaciones allegadas, se calculó el promedio entre estas, así como se halló la mediana y desviación estándar para determinar posibles artificialidades de ítems. 
4. Con base en las anteriores verificaciones, se establece como precios techo unitarios, los valores indicados en la columna “PRECIOS TECHO UNITARIO”. 
5. Por lo expuesto, de las verificaciones realizadas, teniendo en cuenta las proyecciones del área técnica, se establece que el presupuesto oficial para contratar el suministro de alimentos y nutriciones enterales y parenterales es hasta por la suma de </t>
    </r>
    <r>
      <rPr>
        <b/>
        <sz val="8"/>
        <color theme="1"/>
        <rFont val="Arial"/>
        <family val="2"/>
      </rPr>
      <t>NOVENTA MILLONES DE PESOS ($90.000.000) M/CTE.</t>
    </r>
    <r>
      <rPr>
        <sz val="8"/>
        <color theme="1"/>
        <rFont val="Arial"/>
        <family val="2"/>
      </rPr>
      <t xml:space="preserve">
6. De conformidad con lo anterior y las disposiciones del Estatuto y Manual de Contratación vigentes en la Subred, la modalidad de contratación será Directa por medio de Invitación a Cotizar.
</t>
    </r>
  </si>
  <si>
    <t>Elaborado:</t>
  </si>
  <si>
    <t>Guillermo Andrés Pachón Álvarez</t>
  </si>
  <si>
    <t xml:space="preserve">Cargo:  </t>
  </si>
  <si>
    <t>Profesional Especializado 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</si>
</sst>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_-&quot;$ &quot;* #,##0_-;&quot;-$ &quot;* #,##0_-;_-&quot;$ &quot;* \-_-;_-@_-"/>
    <numFmt numFmtId="172" formatCode="0.0%"/>
    <numFmt numFmtId="173" formatCode="&quot;$&quot;\ #,##0"/>
  </numFmts>
  <fonts count="2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name val="Lucida Sans"/>
      <family val="2"/>
    </font>
    <font>
      <sz val="8"/>
      <color rgb="FF000000"/>
      <name val="Arial"/>
      <family val="2"/>
    </font>
    <font>
      <sz val="8"/>
      <color theme="1"/>
      <name val="Arial"/>
      <family val="2"/>
    </font>
    <font>
      <b/>
      <sz val="8"/>
      <color theme="1"/>
      <name val="Arial"/>
      <family val="2"/>
    </font>
    <font>
      <sz val="8"/>
      <color indexed="8"/>
      <name val="Arial"/>
      <family val="2"/>
    </font>
    <font>
      <b/>
      <sz val="8"/>
      <color indexed="8"/>
      <name val="Arial"/>
      <family val="2"/>
    </font>
    <font>
      <b/>
      <sz val="8"/>
      <name val="Arial"/>
      <family val="2"/>
    </font>
    <font>
      <sz val="8"/>
      <name val="Arial"/>
      <family val="2"/>
    </font>
    <font>
      <sz val="11"/>
      <color rgb="FF000000"/>
      <name val="Arial"/>
      <family val="2"/>
    </font>
    <font>
      <sz val="10"/>
      <name val="Arial"/>
      <family val="2"/>
    </font>
    <font>
      <sz val="10"/>
      <color theme="1"/>
      <name val="Calibri"/>
      <family val="2"/>
      <scheme val="minor"/>
    </font>
    <font>
      <b/>
      <sz val="121"/>
      <color theme="1"/>
      <name val="Arial"/>
      <family val="2"/>
    </font>
    <font>
      <b/>
      <sz val="17"/>
      <color theme="1"/>
      <name val="Arial"/>
      <family val="2"/>
    </font>
    <font>
      <b/>
      <sz val="11"/>
      <color theme="1"/>
      <name val="Arial"/>
      <family val="2"/>
    </font>
    <font>
      <sz val="11"/>
      <color indexed="8"/>
      <name val="Arial"/>
      <family val="2"/>
    </font>
    <font>
      <b/>
      <sz val="10"/>
      <color theme="1"/>
      <name val="Arial "/>
    </font>
    <font>
      <sz val="10"/>
      <color theme="1"/>
      <name val="Arial "/>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theme="3" tint="0.59999389629810485"/>
        <bgColor indexed="64"/>
      </patternFill>
    </fill>
  </fills>
  <borders count="1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style="thin">
        <color auto="1"/>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auto="1"/>
      </right>
      <top/>
      <bottom/>
      <diagonal/>
    </border>
  </borders>
  <cellStyleXfs count="64">
    <xf numFmtId="0" fontId="0" fillId="0" borderId="0"/>
    <xf numFmtId="9" fontId="7" fillId="0" borderId="0" applyFont="0" applyFill="0" applyBorder="0" applyAlignment="0" applyProtection="0"/>
    <xf numFmtId="168" fontId="7"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165" fontId="7" fillId="0" borderId="0" applyFont="0" applyFill="0" applyBorder="0" applyAlignment="0" applyProtection="0"/>
    <xf numFmtId="0" fontId="6" fillId="2" borderId="1" applyNumberFormat="0" applyProtection="0">
      <alignment horizontal="left" vertical="center"/>
    </xf>
    <xf numFmtId="0" fontId="5" fillId="3" borderId="0" applyNumberFormat="0" applyBorder="0" applyProtection="0">
      <alignment horizontal="center" vertical="center"/>
    </xf>
    <xf numFmtId="0" fontId="5" fillId="4" borderId="0" applyNumberFormat="0" applyBorder="0" applyProtection="0">
      <alignment horizontal="center" vertical="center"/>
    </xf>
    <xf numFmtId="0" fontId="5" fillId="2" borderId="0" applyNumberFormat="0" applyBorder="0" applyProtection="0">
      <alignment horizontal="center" vertical="center" wrapText="1"/>
    </xf>
    <xf numFmtId="0" fontId="5" fillId="2" borderId="0" applyNumberFormat="0" applyBorder="0" applyProtection="0">
      <alignment horizontal="right" vertical="center" wrapText="1"/>
    </xf>
    <xf numFmtId="0" fontId="5" fillId="5" borderId="0" applyNumberFormat="0" applyBorder="0" applyProtection="0">
      <alignment horizontal="center" vertical="center" wrapText="1"/>
    </xf>
    <xf numFmtId="0" fontId="4" fillId="5" borderId="0" applyNumberFormat="0" applyBorder="0" applyProtection="0">
      <alignment horizontal="right" vertical="center" wrapText="1"/>
    </xf>
    <xf numFmtId="49" fontId="4" fillId="0" borderId="0" applyFill="0" applyBorder="0" applyProtection="0">
      <alignment horizontal="left" vertical="center"/>
    </xf>
    <xf numFmtId="0" fontId="5" fillId="0" borderId="0" applyNumberFormat="0" applyFill="0" applyBorder="0" applyProtection="0">
      <alignment horizontal="left" vertical="center"/>
    </xf>
    <xf numFmtId="0" fontId="5" fillId="0" borderId="0" applyNumberFormat="0" applyFill="0" applyBorder="0" applyProtection="0">
      <alignment horizontal="right" vertical="center"/>
    </xf>
    <xf numFmtId="170" fontId="4" fillId="0" borderId="0" applyFill="0" applyBorder="0" applyProtection="0">
      <alignment horizontal="right" vertical="center"/>
    </xf>
    <xf numFmtId="14" fontId="4" fillId="0" borderId="0" applyFill="0" applyBorder="0" applyProtection="0">
      <alignment horizontal="right" vertical="center"/>
    </xf>
    <xf numFmtId="22" fontId="4" fillId="0" borderId="0" applyFill="0" applyBorder="0" applyProtection="0">
      <alignment horizontal="right" vertical="center"/>
    </xf>
    <xf numFmtId="169" fontId="4" fillId="0" borderId="0" applyFill="0" applyBorder="0" applyProtection="0">
      <alignment horizontal="right" vertical="center"/>
    </xf>
    <xf numFmtId="4" fontId="4" fillId="0" borderId="0" applyFill="0" applyBorder="0" applyProtection="0">
      <alignment horizontal="right" vertical="center"/>
    </xf>
    <xf numFmtId="0" fontId="4" fillId="0" borderId="1" applyNumberFormat="0" applyFill="0" applyProtection="0">
      <alignment horizontal="left" vertical="center"/>
    </xf>
    <xf numFmtId="170" fontId="4" fillId="0" borderId="1" applyFill="0" applyProtection="0">
      <alignment horizontal="right" vertical="center"/>
    </xf>
    <xf numFmtId="3" fontId="4" fillId="0" borderId="1" applyFill="0" applyProtection="0">
      <alignment horizontal="right" vertical="center"/>
    </xf>
    <xf numFmtId="4" fontId="4" fillId="0" borderId="1" applyFill="0" applyProtection="0">
      <alignment horizontal="right" vertical="center"/>
    </xf>
    <xf numFmtId="0" fontId="7" fillId="0" borderId="1" applyNumberFormat="0" applyFont="0" applyFill="0" applyAlignment="0" applyProtection="0"/>
    <xf numFmtId="0" fontId="3" fillId="0" borderId="0"/>
    <xf numFmtId="171" fontId="8" fillId="0" borderId="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xf numFmtId="0" fontId="6" fillId="2" borderId="5" applyNumberFormat="0" applyProtection="0">
      <alignment horizontal="left" vertical="center"/>
    </xf>
    <xf numFmtId="3" fontId="4" fillId="0" borderId="0" applyFill="0" applyBorder="0" applyProtection="0">
      <alignment horizontal="right" vertical="center"/>
    </xf>
    <xf numFmtId="0" fontId="4" fillId="0" borderId="5" applyNumberFormat="0" applyFill="0" applyProtection="0">
      <alignment horizontal="left" vertical="center"/>
    </xf>
    <xf numFmtId="170" fontId="4" fillId="0" borderId="5" applyFill="0" applyProtection="0">
      <alignment horizontal="right" vertical="center"/>
    </xf>
    <xf numFmtId="3" fontId="4" fillId="0" borderId="5" applyFill="0" applyProtection="0">
      <alignment horizontal="right" vertical="center"/>
    </xf>
    <xf numFmtId="4" fontId="4" fillId="0" borderId="5" applyFill="0" applyProtection="0">
      <alignment horizontal="right" vertical="center"/>
    </xf>
    <xf numFmtId="0" fontId="7" fillId="0" borderId="5" applyNumberFormat="0" applyFont="0" applyFill="0" applyAlignment="0" applyProtection="0"/>
    <xf numFmtId="0" fontId="2" fillId="0" borderId="0"/>
    <xf numFmtId="0" fontId="16" fillId="0" borderId="0"/>
    <xf numFmtId="0" fontId="17" fillId="0" borderId="0"/>
    <xf numFmtId="9" fontId="7" fillId="0" borderId="0" applyFont="0" applyFill="0" applyBorder="0" applyAlignment="0" applyProtection="0"/>
    <xf numFmtId="166"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0" fontId="18" fillId="0" borderId="0"/>
    <xf numFmtId="0" fontId="1"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1" fillId="0" borderId="0"/>
    <xf numFmtId="0" fontId="1" fillId="0" borderId="0"/>
    <xf numFmtId="44"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cellStyleXfs>
  <cellXfs count="93">
    <xf numFmtId="0" fontId="0" fillId="0" borderId="0" xfId="0"/>
    <xf numFmtId="0" fontId="10" fillId="0" borderId="0" xfId="0" applyFont="1"/>
    <xf numFmtId="0" fontId="10" fillId="6" borderId="0" xfId="0" applyFont="1" applyFill="1"/>
    <xf numFmtId="0" fontId="11" fillId="6" borderId="5"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1" fillId="6" borderId="0" xfId="0" applyFont="1" applyFill="1"/>
    <xf numFmtId="9" fontId="10" fillId="0" borderId="5" xfId="42" applyFont="1" applyFill="1" applyBorder="1" applyAlignment="1">
      <alignment horizontal="center" vertical="center"/>
    </xf>
    <xf numFmtId="3" fontId="9" fillId="0" borderId="5" xfId="0" applyNumberFormat="1" applyFont="1" applyBorder="1" applyAlignment="1">
      <alignment horizontal="left" vertical="center" wrapText="1"/>
    </xf>
    <xf numFmtId="3" fontId="10" fillId="0" borderId="5" xfId="0" applyNumberFormat="1" applyFont="1" applyBorder="1" applyAlignment="1">
      <alignment horizontal="center" vertical="center" wrapText="1"/>
    </xf>
    <xf numFmtId="9" fontId="10" fillId="0" borderId="5" xfId="42" applyNumberFormat="1" applyFont="1" applyFill="1" applyBorder="1" applyAlignment="1">
      <alignment horizontal="center" vertical="center"/>
    </xf>
    <xf numFmtId="173" fontId="15" fillId="0" borderId="5" xfId="43" applyNumberFormat="1" applyFont="1" applyFill="1" applyBorder="1" applyAlignment="1">
      <alignment horizontal="center" vertical="center" wrapText="1"/>
    </xf>
    <xf numFmtId="173" fontId="15" fillId="0" borderId="5" xfId="60" applyNumberFormat="1" applyFont="1" applyFill="1" applyBorder="1" applyAlignment="1">
      <alignment horizontal="center" vertical="center" wrapText="1"/>
    </xf>
    <xf numFmtId="3" fontId="10" fillId="0" borderId="0" xfId="0" applyNumberFormat="1" applyFont="1" applyAlignment="1">
      <alignment horizontal="center" vertical="center"/>
    </xf>
    <xf numFmtId="9" fontId="10" fillId="0" borderId="5" xfId="0" applyNumberFormat="1" applyFont="1" applyFill="1" applyBorder="1" applyAlignment="1">
      <alignment horizontal="center" vertical="center"/>
    </xf>
    <xf numFmtId="9" fontId="12" fillId="0" borderId="5" xfId="0" applyNumberFormat="1" applyFont="1" applyFill="1" applyBorder="1" applyAlignment="1">
      <alignment horizontal="center" vertical="center" wrapText="1"/>
    </xf>
    <xf numFmtId="0" fontId="12" fillId="0" borderId="5" xfId="0" applyFont="1" applyFill="1" applyBorder="1" applyAlignment="1">
      <alignment horizontal="center" vertical="center" wrapText="1"/>
    </xf>
    <xf numFmtId="172" fontId="10" fillId="0" borderId="5" xfId="0" applyNumberFormat="1" applyFont="1" applyFill="1" applyBorder="1" applyAlignment="1">
      <alignment horizontal="center" vertical="center"/>
    </xf>
    <xf numFmtId="0" fontId="10" fillId="0" borderId="5" xfId="0" applyFont="1" applyFill="1" applyBorder="1" applyAlignment="1">
      <alignment horizontal="center" vertical="center"/>
    </xf>
    <xf numFmtId="0" fontId="15"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173" fontId="12" fillId="0" borderId="5" xfId="0" applyNumberFormat="1" applyFont="1" applyFill="1" applyBorder="1" applyAlignment="1">
      <alignment horizontal="center" vertical="center" wrapText="1"/>
    </xf>
    <xf numFmtId="173" fontId="15" fillId="0" borderId="5" xfId="0" applyNumberFormat="1" applyFont="1" applyFill="1" applyBorder="1" applyAlignment="1">
      <alignment horizontal="center" vertical="center" wrapText="1"/>
    </xf>
    <xf numFmtId="3" fontId="10" fillId="0" borderId="0" xfId="0" applyNumberFormat="1" applyFont="1" applyFill="1" applyAlignment="1">
      <alignment horizontal="center" vertical="center"/>
    </xf>
    <xf numFmtId="0" fontId="10" fillId="0" borderId="0" xfId="0" applyFont="1" applyFill="1"/>
    <xf numFmtId="0" fontId="13" fillId="7" borderId="1"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3" fillId="7" borderId="5" xfId="0" applyFont="1" applyFill="1" applyBorder="1" applyAlignment="1">
      <alignment horizontal="center" vertical="center" wrapText="1"/>
    </xf>
    <xf numFmtId="9" fontId="13" fillId="7" borderId="5" xfId="0" applyNumberFormat="1" applyFont="1" applyFill="1" applyBorder="1" applyAlignment="1">
      <alignment horizontal="center" vertical="center" wrapText="1"/>
    </xf>
    <xf numFmtId="172" fontId="12" fillId="0" borderId="5" xfId="0" applyNumberFormat="1" applyFont="1" applyFill="1" applyBorder="1" applyAlignment="1">
      <alignment horizontal="center" vertical="center" wrapText="1"/>
    </xf>
    <xf numFmtId="3" fontId="10" fillId="0" borderId="6" xfId="0" applyNumberFormat="1" applyFont="1" applyFill="1" applyBorder="1" applyAlignment="1">
      <alignment horizontal="center" vertical="center"/>
    </xf>
    <xf numFmtId="173" fontId="10" fillId="0" borderId="5" xfId="0" applyNumberFormat="1" applyFont="1" applyFill="1" applyBorder="1" applyAlignment="1">
      <alignment horizontal="center" vertical="center"/>
    </xf>
    <xf numFmtId="3" fontId="11" fillId="7" borderId="5" xfId="0" applyNumberFormat="1" applyFont="1" applyFill="1" applyBorder="1" applyAlignment="1">
      <alignment horizontal="center" vertical="center"/>
    </xf>
    <xf numFmtId="173" fontId="11" fillId="7" borderId="5" xfId="0" applyNumberFormat="1" applyFont="1" applyFill="1" applyBorder="1" applyAlignment="1">
      <alignment horizontal="center" vertical="center"/>
    </xf>
    <xf numFmtId="9" fontId="11" fillId="7" borderId="5" xfId="0" applyNumberFormat="1" applyFont="1" applyFill="1" applyBorder="1" applyAlignment="1">
      <alignment horizontal="center" vertical="center"/>
    </xf>
    <xf numFmtId="0" fontId="11" fillId="7" borderId="5" xfId="0" applyFont="1" applyFill="1" applyBorder="1" applyAlignment="1">
      <alignment horizontal="center" vertical="center" wrapText="1"/>
    </xf>
    <xf numFmtId="0" fontId="14" fillId="7" borderId="5" xfId="0" applyFont="1" applyFill="1" applyBorder="1" applyAlignment="1">
      <alignment horizontal="center" vertical="center" wrapText="1"/>
    </xf>
    <xf numFmtId="0" fontId="10" fillId="6" borderId="0" xfId="0" applyFont="1" applyFill="1" applyBorder="1"/>
    <xf numFmtId="0" fontId="10" fillId="6" borderId="0" xfId="0" applyFont="1" applyFill="1" applyBorder="1" applyAlignment="1">
      <alignment horizontal="left" vertical="top" wrapText="1"/>
    </xf>
    <xf numFmtId="173" fontId="15" fillId="6" borderId="5" xfId="27" applyNumberFormat="1" applyFont="1" applyFill="1" applyBorder="1" applyAlignment="1" applyProtection="1">
      <alignment horizontal="center" vertical="center" wrapText="1"/>
    </xf>
    <xf numFmtId="0" fontId="23" fillId="0" borderId="0" xfId="0" applyFont="1" applyFill="1" applyBorder="1" applyAlignment="1">
      <alignment wrapText="1"/>
    </xf>
    <xf numFmtId="0" fontId="23" fillId="0" borderId="0" xfId="0" applyFont="1" applyFill="1" applyBorder="1" applyAlignment="1">
      <alignment vertical="center" wrapText="1"/>
    </xf>
    <xf numFmtId="0" fontId="23" fillId="0" borderId="0" xfId="0" applyFont="1" applyFill="1" applyBorder="1" applyAlignment="1"/>
    <xf numFmtId="0" fontId="24" fillId="0" borderId="0" xfId="0" applyFont="1"/>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23" fillId="0" borderId="0" xfId="0" applyFont="1" applyFill="1" applyBorder="1" applyAlignment="1">
      <alignment horizontal="center" wrapText="1"/>
    </xf>
    <xf numFmtId="0" fontId="23" fillId="0" borderId="0" xfId="0" applyFont="1" applyFill="1" applyBorder="1" applyAlignment="1">
      <alignment horizontal="left" vertical="center" wrapText="1"/>
    </xf>
    <xf numFmtId="0" fontId="23" fillId="0" borderId="0" xfId="0" applyFont="1" applyFill="1" applyBorder="1" applyAlignment="1">
      <alignment horizontal="left" wrapText="1"/>
    </xf>
    <xf numFmtId="0" fontId="15" fillId="0" borderId="6" xfId="41" applyFont="1" applyFill="1" applyBorder="1" applyAlignment="1">
      <alignment horizontal="center" vertical="center" wrapText="1"/>
    </xf>
    <xf numFmtId="0" fontId="15" fillId="0" borderId="7" xfId="41" applyFont="1" applyFill="1" applyBorder="1" applyAlignment="1">
      <alignment horizontal="center" vertical="center" wrapText="1"/>
    </xf>
    <xf numFmtId="0" fontId="15" fillId="0" borderId="2" xfId="41" applyFont="1" applyFill="1" applyBorder="1" applyAlignment="1">
      <alignment horizontal="center" vertical="center" wrapText="1"/>
    </xf>
    <xf numFmtId="0" fontId="13" fillId="7" borderId="6"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7" borderId="2" xfId="0" applyFont="1" applyFill="1" applyBorder="1" applyAlignment="1">
      <alignment horizontal="center" vertical="center" wrapText="1"/>
    </xf>
    <xf numFmtId="0" fontId="21" fillId="0" borderId="1" xfId="0" applyFont="1" applyBorder="1" applyAlignment="1">
      <alignment horizontal="center" vertical="center"/>
    </xf>
    <xf numFmtId="0" fontId="21" fillId="0" borderId="5" xfId="0" applyFont="1" applyBorder="1" applyAlignment="1">
      <alignment horizontal="center" vertical="center"/>
    </xf>
    <xf numFmtId="0" fontId="11" fillId="7" borderId="3"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7" xfId="0" applyFont="1" applyFill="1" applyBorder="1" applyAlignment="1">
      <alignment horizontal="center" vertical="center" wrapText="1"/>
    </xf>
    <xf numFmtId="0" fontId="14" fillId="7" borderId="2" xfId="0" applyFont="1" applyFill="1" applyBorder="1" applyAlignment="1">
      <alignment horizontal="center" vertical="center" wrapText="1"/>
    </xf>
    <xf numFmtId="0" fontId="11" fillId="7" borderId="9" xfId="0" applyFont="1" applyFill="1" applyBorder="1" applyAlignment="1">
      <alignment horizontal="center" vertical="center"/>
    </xf>
    <xf numFmtId="0" fontId="11" fillId="7" borderId="10" xfId="0" applyFont="1" applyFill="1" applyBorder="1" applyAlignment="1">
      <alignment horizontal="center" vertical="center"/>
    </xf>
    <xf numFmtId="0" fontId="11" fillId="7" borderId="11" xfId="0" applyFont="1" applyFill="1" applyBorder="1" applyAlignment="1">
      <alignment horizontal="center" vertical="center"/>
    </xf>
    <xf numFmtId="0" fontId="11" fillId="7" borderId="12" xfId="0" applyFont="1" applyFill="1" applyBorder="1" applyAlignment="1">
      <alignment horizontal="center" vertical="center"/>
    </xf>
    <xf numFmtId="0" fontId="11" fillId="7" borderId="8" xfId="0" applyFont="1" applyFill="1" applyBorder="1" applyAlignment="1">
      <alignment horizontal="center" vertical="center"/>
    </xf>
    <xf numFmtId="0" fontId="11" fillId="7" borderId="13" xfId="0" applyFont="1" applyFill="1" applyBorder="1" applyAlignment="1">
      <alignment horizontal="center" vertical="center"/>
    </xf>
    <xf numFmtId="0" fontId="13" fillId="7" borderId="3" xfId="0" applyFont="1" applyFill="1" applyBorder="1" applyAlignment="1">
      <alignment horizontal="center" vertical="center" wrapText="1"/>
    </xf>
    <xf numFmtId="0" fontId="13" fillId="7" borderId="4" xfId="0" applyFont="1" applyFill="1" applyBorder="1" applyAlignment="1">
      <alignment horizontal="center" vertical="center" wrapText="1"/>
    </xf>
    <xf numFmtId="0" fontId="10" fillId="6" borderId="6" xfId="0" applyFont="1" applyFill="1" applyBorder="1" applyAlignment="1">
      <alignment horizontal="left" vertical="top" wrapText="1"/>
    </xf>
    <xf numFmtId="0" fontId="10" fillId="6" borderId="7" xfId="0" applyFont="1" applyFill="1" applyBorder="1" applyAlignment="1">
      <alignment horizontal="left" vertical="top" wrapText="1"/>
    </xf>
    <xf numFmtId="0" fontId="10" fillId="6" borderId="2" xfId="0" applyFont="1" applyFill="1" applyBorder="1" applyAlignment="1">
      <alignment horizontal="left" vertical="top" wrapText="1"/>
    </xf>
    <xf numFmtId="0" fontId="20"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13" xfId="0" applyFont="1" applyBorder="1" applyAlignment="1">
      <alignment horizontal="center"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0" borderId="2"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22" fillId="0" borderId="2" xfId="0" applyFont="1" applyBorder="1" applyAlignment="1">
      <alignment horizontal="left" vertical="center" wrapText="1"/>
    </xf>
    <xf numFmtId="0" fontId="10" fillId="0" borderId="1" xfId="0" applyFont="1" applyBorder="1" applyAlignment="1">
      <alignment horizontal="center" wrapText="1"/>
    </xf>
    <xf numFmtId="0" fontId="10" fillId="0" borderId="5" xfId="0" applyFont="1" applyBorder="1" applyAlignment="1">
      <alignment horizontal="center" wrapText="1"/>
    </xf>
    <xf numFmtId="0" fontId="10" fillId="0" borderId="5" xfId="0" applyFont="1" applyBorder="1" applyAlignment="1">
      <alignment horizontal="center"/>
    </xf>
    <xf numFmtId="0" fontId="11" fillId="7" borderId="3" xfId="0" applyFont="1" applyFill="1" applyBorder="1" applyAlignment="1">
      <alignment horizontal="center" vertical="center"/>
    </xf>
    <xf numFmtId="0" fontId="11" fillId="7" borderId="4" xfId="0" applyFont="1" applyFill="1" applyBorder="1" applyAlignment="1">
      <alignment horizontal="center" vertical="center"/>
    </xf>
  </cellXfs>
  <cellStyles count="64">
    <cellStyle name="BodyStyle" xfId="13"/>
    <cellStyle name="BodyStyleBold" xfId="14"/>
    <cellStyle name="BodyStyleBoldRight" xfId="15"/>
    <cellStyle name="BodyStyleWithBorder" xfId="21"/>
    <cellStyle name="BodyStyleWithBorder 2" xfId="34"/>
    <cellStyle name="BorderThinBlack" xfId="25"/>
    <cellStyle name="BorderThinBlack 2" xfId="38"/>
    <cellStyle name="Comma" xfId="4"/>
    <cellStyle name="Comma [0]" xfId="5"/>
    <cellStyle name="Comma [0] 2" xfId="31"/>
    <cellStyle name="Comma 2" xfId="30"/>
    <cellStyle name="Comma 3" xfId="50"/>
    <cellStyle name="Comma 4" xfId="61"/>
    <cellStyle name="Comma 5" xfId="56"/>
    <cellStyle name="Comma 6" xfId="51"/>
    <cellStyle name="Comma 7" xfId="62"/>
    <cellStyle name="Comma 8" xfId="45"/>
    <cellStyle name="Comma 9" xfId="47"/>
    <cellStyle name="Currency" xfId="2"/>
    <cellStyle name="Currency [0]" xfId="3"/>
    <cellStyle name="Currency [0] 2" xfId="29"/>
    <cellStyle name="Currency 2" xfId="28"/>
    <cellStyle name="Currency 3" xfId="54"/>
    <cellStyle name="Currency 4" xfId="55"/>
    <cellStyle name="Currency 5" xfId="57"/>
    <cellStyle name="Currency 6" xfId="52"/>
    <cellStyle name="Currency 7" xfId="53"/>
    <cellStyle name="Currency 8" xfId="44"/>
    <cellStyle name="Currency 9" xfId="46"/>
    <cellStyle name="DateStyle" xfId="17"/>
    <cellStyle name="DateTimeStyle" xfId="18"/>
    <cellStyle name="Decimal" xfId="20"/>
    <cellStyle name="DecimalWithBorder" xfId="24"/>
    <cellStyle name="DecimalWithBorder 2" xfId="37"/>
    <cellStyle name="EuroCurrency" xfId="16"/>
    <cellStyle name="EuroCurrencyWithBorder" xfId="22"/>
    <cellStyle name="EuroCurrencyWithBorder 2" xfId="35"/>
    <cellStyle name="Excel Built-in Currency [0]" xfId="27"/>
    <cellStyle name="HeaderStyle" xfId="7"/>
    <cellStyle name="HeaderSubTop" xfId="11"/>
    <cellStyle name="HeaderSubTopNoBold" xfId="12"/>
    <cellStyle name="HeaderTopBuyer" xfId="8"/>
    <cellStyle name="HeaderTopStyle" xfId="9"/>
    <cellStyle name="HeaderTopStyleAlignRight" xfId="10"/>
    <cellStyle name="MainTitle" xfId="6"/>
    <cellStyle name="MainTitle 2" xfId="32"/>
    <cellStyle name="Moneda" xfId="43" builtinId="4"/>
    <cellStyle name="Moneda 2" xfId="60"/>
    <cellStyle name="Moneda 3" xfId="63"/>
    <cellStyle name="Normal" xfId="0" builtinId="0"/>
    <cellStyle name="Normal 2" xfId="26"/>
    <cellStyle name="Normal 2 2" xfId="41"/>
    <cellStyle name="Normal 3" xfId="39"/>
    <cellStyle name="Normal 3 2" xfId="58"/>
    <cellStyle name="Normal 3 3" xfId="49"/>
    <cellStyle name="Normal 4" xfId="40"/>
    <cellStyle name="Normal 4 2" xfId="59"/>
    <cellStyle name="Normal 5" xfId="48"/>
    <cellStyle name="Numeric" xfId="19"/>
    <cellStyle name="Numeric 2" xfId="33"/>
    <cellStyle name="NumericWithBorder" xfId="23"/>
    <cellStyle name="NumericWithBorder 2" xfId="36"/>
    <cellStyle name="Percent" xfId="1"/>
    <cellStyle name="Porcentaje" xfId="4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690764</xdr:colOff>
      <xdr:row>2</xdr:row>
      <xdr:rowOff>46585</xdr:rowOff>
    </xdr:from>
    <xdr:to>
      <xdr:col>3</xdr:col>
      <xdr:colOff>1153407</xdr:colOff>
      <xdr:row>3</xdr:row>
      <xdr:rowOff>841243</xdr:rowOff>
    </xdr:to>
    <xdr:pic>
      <xdr:nvPicPr>
        <xdr:cNvPr id="2" name="Imagen 1">
          <a:extLst>
            <a:ext uri="{FF2B5EF4-FFF2-40B4-BE49-F238E27FC236}">
              <a16:creationId xmlns:a16="http://schemas.microsoft.com/office/drawing/2014/main" id="{BB12E734-1209-42FE-94B2-338FD1FC468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476" t="32628" r="32597" b="37462"/>
        <a:stretch>
          <a:fillRect/>
        </a:stretch>
      </xdr:blipFill>
      <xdr:spPr bwMode="auto">
        <a:xfrm>
          <a:off x="2214764" y="1368879"/>
          <a:ext cx="3219290" cy="11756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56</xdr:col>
      <xdr:colOff>144849</xdr:colOff>
      <xdr:row>2</xdr:row>
      <xdr:rowOff>30016</xdr:rowOff>
    </xdr:from>
    <xdr:to>
      <xdr:col>56</xdr:col>
      <xdr:colOff>1669678</xdr:colOff>
      <xdr:row>3</xdr:row>
      <xdr:rowOff>851647</xdr:rowOff>
    </xdr:to>
    <xdr:pic>
      <xdr:nvPicPr>
        <xdr:cNvPr id="4" name="Picture 33">
          <a:extLst>
            <a:ext uri="{FF2B5EF4-FFF2-40B4-BE49-F238E27FC236}">
              <a16:creationId xmlns:a16="http://schemas.microsoft.com/office/drawing/2014/main" id="{4E8776DD-4577-44C7-9FB7-06D1A1FED36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296" t="22961" r="48727" b="31419"/>
        <a:stretch>
          <a:fillRect/>
        </a:stretch>
      </xdr:blipFill>
      <xdr:spPr bwMode="auto">
        <a:xfrm>
          <a:off x="54975231" y="1352310"/>
          <a:ext cx="1524829" cy="120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F107"/>
  <sheetViews>
    <sheetView tabSelected="1" view="pageBreakPreview" topLeftCell="A82" zoomScale="70" zoomScaleNormal="90" zoomScaleSheetLayoutView="70" workbookViewId="0">
      <selection activeCell="BL85" sqref="BL85"/>
    </sheetView>
  </sheetViews>
  <sheetFormatPr baseColWidth="10" defaultColWidth="11.42578125" defaultRowHeight="11.25"/>
  <cols>
    <col min="1" max="1" width="11.42578125" style="1"/>
    <col min="2" max="2" width="12.5703125" style="1" customWidth="1"/>
    <col min="3" max="3" width="29.85546875" style="1" customWidth="1"/>
    <col min="4" max="4" width="25.5703125" style="1" customWidth="1"/>
    <col min="5" max="5" width="12.28515625" style="1" customWidth="1"/>
    <col min="6" max="6" width="24.42578125" style="1" customWidth="1"/>
    <col min="7" max="7" width="17.85546875" style="1" customWidth="1"/>
    <col min="8" max="8" width="11.42578125" style="1" hidden="1" customWidth="1"/>
    <col min="9" max="9" width="10" style="1" hidden="1" customWidth="1"/>
    <col min="10" max="10" width="11.42578125" style="1" hidden="1" customWidth="1"/>
    <col min="11" max="12" width="11" style="1" hidden="1" customWidth="1"/>
    <col min="13" max="13" width="11" style="23" hidden="1" customWidth="1"/>
    <col min="14" max="15" width="15" style="1" hidden="1" customWidth="1"/>
    <col min="16" max="16" width="13.42578125" style="1" hidden="1" customWidth="1"/>
    <col min="17" max="17" width="12.7109375" style="1" hidden="1" customWidth="1"/>
    <col min="18" max="19" width="15" style="1" hidden="1" customWidth="1"/>
    <col min="20" max="20" width="15" style="2" hidden="1" customWidth="1"/>
    <col min="21" max="23" width="15" style="1" hidden="1" customWidth="1"/>
    <col min="24" max="24" width="15" style="2" hidden="1" customWidth="1"/>
    <col min="25" max="25" width="15" style="1" hidden="1" customWidth="1"/>
    <col min="26" max="26" width="11.85546875" style="1" hidden="1" customWidth="1"/>
    <col min="27" max="27" width="13" style="1" hidden="1" customWidth="1"/>
    <col min="28" max="28" width="14.28515625" style="1" hidden="1" customWidth="1"/>
    <col min="29" max="29" width="12.85546875" style="1" hidden="1" customWidth="1"/>
    <col min="30" max="30" width="12.7109375" style="1" hidden="1" customWidth="1"/>
    <col min="31" max="31" width="10.7109375" style="1" hidden="1" customWidth="1"/>
    <col min="32" max="32" width="11.7109375" style="1" hidden="1" customWidth="1"/>
    <col min="33" max="33" width="10.7109375" style="1" hidden="1" customWidth="1"/>
    <col min="34" max="34" width="12.28515625" style="1" hidden="1" customWidth="1"/>
    <col min="35" max="36" width="15.42578125" style="1" hidden="1" customWidth="1"/>
    <col min="37" max="37" width="12.42578125" style="1" hidden="1" customWidth="1"/>
    <col min="38" max="38" width="11.42578125" style="1" hidden="1" customWidth="1"/>
    <col min="39" max="39" width="13.5703125" style="1" hidden="1" customWidth="1"/>
    <col min="40" max="40" width="12.85546875" style="1" hidden="1" customWidth="1"/>
    <col min="41" max="41" width="13" style="1" hidden="1" customWidth="1"/>
    <col min="42" max="43" width="11.42578125" style="1" hidden="1" customWidth="1"/>
    <col min="44" max="44" width="19.140625" style="1" hidden="1" customWidth="1"/>
    <col min="45" max="45" width="18.28515625" style="1" hidden="1" customWidth="1"/>
    <col min="46" max="46" width="17.42578125" style="1" hidden="1" customWidth="1"/>
    <col min="47" max="47" width="18.140625" style="1" hidden="1" customWidth="1"/>
    <col min="48" max="49" width="17.28515625" style="1" hidden="1" customWidth="1"/>
    <col min="50" max="50" width="17" style="1" hidden="1" customWidth="1"/>
    <col min="51" max="51" width="19.28515625" style="1" hidden="1" customWidth="1"/>
    <col min="52" max="52" width="18.140625" style="1" hidden="1" customWidth="1"/>
    <col min="53" max="53" width="13.5703125" style="1" hidden="1" customWidth="1"/>
    <col min="54" max="54" width="11.42578125" style="1" hidden="1" customWidth="1"/>
    <col min="55" max="55" width="14" style="1" hidden="1" customWidth="1"/>
    <col min="56" max="56" width="15" style="1" hidden="1" customWidth="1"/>
    <col min="57" max="57" width="28.85546875" style="1" customWidth="1"/>
    <col min="58" max="16384" width="11.42578125" style="1"/>
  </cols>
  <sheetData>
    <row r="2" spans="2:58" ht="12.75" customHeight="1">
      <c r="B2" s="88"/>
      <c r="C2" s="89"/>
      <c r="D2" s="88"/>
      <c r="E2" s="73" t="s">
        <v>251</v>
      </c>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5"/>
      <c r="BC2" s="7" t="s">
        <v>2</v>
      </c>
      <c r="BD2" s="8">
        <v>1</v>
      </c>
      <c r="BE2" s="90"/>
    </row>
    <row r="3" spans="2:58" ht="30" customHeight="1">
      <c r="B3" s="88"/>
      <c r="C3" s="89"/>
      <c r="D3" s="88"/>
      <c r="E3" s="76"/>
      <c r="F3" s="77"/>
      <c r="G3" s="77"/>
      <c r="H3" s="77"/>
      <c r="I3" s="77"/>
      <c r="J3" s="77"/>
      <c r="K3" s="77"/>
      <c r="L3" s="77"/>
      <c r="M3" s="77"/>
      <c r="N3" s="77"/>
      <c r="O3" s="77"/>
      <c r="P3" s="77"/>
      <c r="Q3" s="77"/>
      <c r="R3" s="77"/>
      <c r="S3" s="77"/>
      <c r="T3" s="77"/>
      <c r="U3" s="77"/>
      <c r="V3" s="77"/>
      <c r="W3" s="77"/>
      <c r="X3" s="77"/>
      <c r="Y3" s="77"/>
      <c r="Z3" s="77"/>
      <c r="AA3" s="77"/>
      <c r="AB3" s="77"/>
      <c r="AC3" s="77"/>
      <c r="AD3" s="77"/>
      <c r="AE3" s="77"/>
      <c r="AF3" s="77"/>
      <c r="AG3" s="77"/>
      <c r="AH3" s="77"/>
      <c r="AI3" s="77"/>
      <c r="AJ3" s="77"/>
      <c r="AK3" s="77"/>
      <c r="AL3" s="77"/>
      <c r="AM3" s="77"/>
      <c r="AN3" s="77"/>
      <c r="AO3" s="77"/>
      <c r="AP3" s="77"/>
      <c r="AQ3" s="77"/>
      <c r="AR3" s="77"/>
      <c r="AS3" s="77"/>
      <c r="AT3" s="77"/>
      <c r="AU3" s="77"/>
      <c r="AV3" s="77"/>
      <c r="AW3" s="77"/>
      <c r="AX3" s="77"/>
      <c r="AY3" s="77"/>
      <c r="AZ3" s="77"/>
      <c r="BA3" s="77"/>
      <c r="BB3" s="78"/>
      <c r="BC3" s="7" t="s">
        <v>3</v>
      </c>
      <c r="BD3" s="8">
        <v>43131</v>
      </c>
      <c r="BE3" s="90"/>
    </row>
    <row r="4" spans="2:58" ht="75.75" customHeight="1">
      <c r="B4" s="88"/>
      <c r="C4" s="89"/>
      <c r="D4" s="88"/>
      <c r="E4" s="79"/>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1"/>
      <c r="BC4" s="7" t="s">
        <v>4</v>
      </c>
      <c r="BD4" s="8" t="s">
        <v>5</v>
      </c>
      <c r="BE4" s="90"/>
    </row>
    <row r="5" spans="2:58" ht="27" customHeight="1">
      <c r="B5" s="55" t="s">
        <v>7</v>
      </c>
      <c r="C5" s="56"/>
      <c r="D5" s="55"/>
      <c r="E5" s="82" t="s">
        <v>248</v>
      </c>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4"/>
    </row>
    <row r="6" spans="2:58" ht="15.75" customHeight="1">
      <c r="B6" s="55" t="s">
        <v>6</v>
      </c>
      <c r="C6" s="56"/>
      <c r="D6" s="55"/>
      <c r="E6" s="82" t="s">
        <v>249</v>
      </c>
      <c r="F6" s="83"/>
      <c r="G6" s="83"/>
      <c r="H6" s="83"/>
      <c r="I6" s="83"/>
      <c r="J6" s="83"/>
      <c r="K6" s="83"/>
      <c r="L6" s="83"/>
      <c r="M6" s="83"/>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c r="AY6" s="83"/>
      <c r="AZ6" s="83"/>
      <c r="BA6" s="83"/>
      <c r="BB6" s="83"/>
      <c r="BC6" s="83"/>
      <c r="BD6" s="83"/>
      <c r="BE6" s="84"/>
    </row>
    <row r="7" spans="2:58" ht="20.25" customHeight="1">
      <c r="B7" s="55" t="s">
        <v>8</v>
      </c>
      <c r="C7" s="56"/>
      <c r="D7" s="55"/>
      <c r="E7" s="82" t="s">
        <v>250</v>
      </c>
      <c r="F7" s="83"/>
      <c r="G7" s="83"/>
      <c r="H7" s="83"/>
      <c r="I7" s="83"/>
      <c r="J7" s="83"/>
      <c r="K7" s="83"/>
      <c r="L7" s="83"/>
      <c r="M7" s="83"/>
      <c r="N7" s="83"/>
      <c r="O7" s="83"/>
      <c r="P7" s="83"/>
      <c r="Q7" s="83"/>
      <c r="R7" s="83"/>
      <c r="S7" s="83"/>
      <c r="T7" s="83"/>
      <c r="U7" s="83"/>
      <c r="V7" s="83"/>
      <c r="W7" s="83"/>
      <c r="X7" s="83"/>
      <c r="Y7" s="83"/>
      <c r="Z7" s="83"/>
      <c r="AA7" s="83"/>
      <c r="AB7" s="83"/>
      <c r="AC7" s="83"/>
      <c r="AD7" s="83"/>
      <c r="AE7" s="83"/>
      <c r="AF7" s="83"/>
      <c r="AG7" s="83"/>
      <c r="AH7" s="83"/>
      <c r="AI7" s="83"/>
      <c r="AJ7" s="83"/>
      <c r="AK7" s="83"/>
      <c r="AL7" s="83"/>
      <c r="AM7" s="83"/>
      <c r="AN7" s="83"/>
      <c r="AO7" s="83"/>
      <c r="AP7" s="83"/>
      <c r="AQ7" s="83"/>
      <c r="AR7" s="83"/>
      <c r="AS7" s="83"/>
      <c r="AT7" s="83"/>
      <c r="AU7" s="83"/>
      <c r="AV7" s="83"/>
      <c r="AW7" s="83"/>
      <c r="AX7" s="83"/>
      <c r="AY7" s="83"/>
      <c r="AZ7" s="83"/>
      <c r="BA7" s="83"/>
      <c r="BB7" s="83"/>
      <c r="BC7" s="83"/>
      <c r="BD7" s="83"/>
      <c r="BE7" s="84"/>
    </row>
    <row r="8" spans="2:58" ht="81" customHeight="1">
      <c r="B8" s="55" t="s">
        <v>9</v>
      </c>
      <c r="C8" s="56"/>
      <c r="D8" s="55"/>
      <c r="E8" s="85" t="s">
        <v>257</v>
      </c>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c r="AP8" s="86"/>
      <c r="AQ8" s="86"/>
      <c r="AR8" s="86"/>
      <c r="AS8" s="86"/>
      <c r="AT8" s="86"/>
      <c r="AU8" s="86"/>
      <c r="AV8" s="86"/>
      <c r="AW8" s="86"/>
      <c r="AX8" s="86"/>
      <c r="AY8" s="86"/>
      <c r="AZ8" s="86"/>
      <c r="BA8" s="86"/>
      <c r="BB8" s="86"/>
      <c r="BC8" s="86"/>
      <c r="BD8" s="86"/>
      <c r="BE8" s="87"/>
    </row>
    <row r="9" spans="2:58">
      <c r="B9" s="2"/>
      <c r="C9" s="2"/>
      <c r="D9" s="2"/>
      <c r="E9" s="2"/>
      <c r="F9" s="2"/>
      <c r="G9" s="2"/>
      <c r="H9" s="2"/>
      <c r="I9" s="2"/>
      <c r="J9" s="2"/>
      <c r="K9" s="2"/>
      <c r="L9" s="2"/>
      <c r="N9" s="2"/>
      <c r="O9" s="2"/>
      <c r="P9" s="2"/>
      <c r="Q9" s="2"/>
      <c r="T9" s="1"/>
      <c r="V9" s="2"/>
      <c r="W9" s="2"/>
      <c r="Y9" s="2"/>
      <c r="Z9" s="2"/>
      <c r="AA9" s="2"/>
      <c r="AB9" s="2"/>
      <c r="AC9" s="2"/>
      <c r="AD9" s="2"/>
      <c r="AE9" s="2"/>
      <c r="AF9" s="2"/>
      <c r="AG9" s="2"/>
      <c r="AH9" s="2"/>
      <c r="AI9" s="2"/>
      <c r="AJ9" s="2"/>
      <c r="AK9" s="2"/>
    </row>
    <row r="10" spans="2:58" ht="78" customHeight="1">
      <c r="B10" s="91" t="s">
        <v>16</v>
      </c>
      <c r="C10" s="57" t="s">
        <v>29</v>
      </c>
      <c r="D10" s="62" t="s">
        <v>22</v>
      </c>
      <c r="E10" s="63"/>
      <c r="F10" s="64"/>
      <c r="G10" s="68" t="s">
        <v>30</v>
      </c>
      <c r="H10" s="68" t="s">
        <v>31</v>
      </c>
      <c r="I10" s="68" t="s">
        <v>14</v>
      </c>
      <c r="J10" s="52" t="s">
        <v>235</v>
      </c>
      <c r="K10" s="53"/>
      <c r="L10" s="53"/>
      <c r="M10" s="53"/>
      <c r="N10" s="53"/>
      <c r="O10" s="52" t="s">
        <v>225</v>
      </c>
      <c r="P10" s="53"/>
      <c r="Q10" s="53"/>
      <c r="R10" s="54"/>
      <c r="S10" s="52" t="s">
        <v>226</v>
      </c>
      <c r="T10" s="53"/>
      <c r="U10" s="53"/>
      <c r="V10" s="54"/>
      <c r="W10" s="52" t="s">
        <v>227</v>
      </c>
      <c r="X10" s="53"/>
      <c r="Y10" s="53"/>
      <c r="Z10" s="54"/>
      <c r="AA10" s="52" t="s">
        <v>228</v>
      </c>
      <c r="AB10" s="53"/>
      <c r="AC10" s="53"/>
      <c r="AD10" s="54"/>
      <c r="AE10" s="52" t="s">
        <v>229</v>
      </c>
      <c r="AF10" s="53"/>
      <c r="AG10" s="53"/>
      <c r="AH10" s="54"/>
      <c r="AI10" s="52" t="s">
        <v>230</v>
      </c>
      <c r="AJ10" s="53"/>
      <c r="AK10" s="53"/>
      <c r="AL10" s="54"/>
      <c r="AM10" s="52" t="s">
        <v>255</v>
      </c>
      <c r="AN10" s="53"/>
      <c r="AO10" s="53"/>
      <c r="AP10" s="53"/>
      <c r="AQ10" s="53"/>
      <c r="AR10" s="53"/>
      <c r="AS10" s="53"/>
      <c r="AT10" s="53"/>
      <c r="AU10" s="53"/>
      <c r="AV10" s="53"/>
      <c r="AW10" s="53"/>
      <c r="AX10" s="53"/>
      <c r="AY10" s="53"/>
      <c r="AZ10" s="53"/>
      <c r="BA10" s="53"/>
      <c r="BB10" s="53"/>
      <c r="BC10" s="53"/>
      <c r="BD10" s="53"/>
      <c r="BE10" s="54"/>
    </row>
    <row r="11" spans="2:58" ht="45">
      <c r="B11" s="92"/>
      <c r="C11" s="58"/>
      <c r="D11" s="65"/>
      <c r="E11" s="66"/>
      <c r="F11" s="67"/>
      <c r="G11" s="69"/>
      <c r="H11" s="69"/>
      <c r="I11" s="69"/>
      <c r="J11" s="24" t="s">
        <v>12</v>
      </c>
      <c r="K11" s="24" t="s">
        <v>15</v>
      </c>
      <c r="L11" s="24" t="s">
        <v>13</v>
      </c>
      <c r="M11" s="24" t="s">
        <v>18</v>
      </c>
      <c r="N11" s="25" t="s">
        <v>234</v>
      </c>
      <c r="O11" s="24" t="s">
        <v>12</v>
      </c>
      <c r="P11" s="24" t="s">
        <v>15</v>
      </c>
      <c r="Q11" s="24" t="s">
        <v>13</v>
      </c>
      <c r="R11" s="24" t="s">
        <v>18</v>
      </c>
      <c r="S11" s="24" t="s">
        <v>12</v>
      </c>
      <c r="T11" s="24" t="s">
        <v>15</v>
      </c>
      <c r="U11" s="24" t="s">
        <v>13</v>
      </c>
      <c r="V11" s="24" t="s">
        <v>18</v>
      </c>
      <c r="W11" s="24" t="s">
        <v>12</v>
      </c>
      <c r="X11" s="24" t="s">
        <v>15</v>
      </c>
      <c r="Y11" s="24" t="s">
        <v>13</v>
      </c>
      <c r="Z11" s="24" t="s">
        <v>18</v>
      </c>
      <c r="AA11" s="24" t="s">
        <v>12</v>
      </c>
      <c r="AB11" s="24" t="s">
        <v>15</v>
      </c>
      <c r="AC11" s="24" t="s">
        <v>13</v>
      </c>
      <c r="AD11" s="24" t="s">
        <v>18</v>
      </c>
      <c r="AE11" s="24" t="s">
        <v>12</v>
      </c>
      <c r="AF11" s="24" t="s">
        <v>15</v>
      </c>
      <c r="AG11" s="24" t="s">
        <v>13</v>
      </c>
      <c r="AH11" s="24" t="s">
        <v>18</v>
      </c>
      <c r="AI11" s="24" t="s">
        <v>12</v>
      </c>
      <c r="AJ11" s="24" t="s">
        <v>15</v>
      </c>
      <c r="AK11" s="24" t="s">
        <v>13</v>
      </c>
      <c r="AL11" s="24" t="s">
        <v>18</v>
      </c>
      <c r="AM11" s="24" t="s">
        <v>17</v>
      </c>
      <c r="AN11" s="26" t="s">
        <v>24</v>
      </c>
      <c r="AO11" s="26" t="s">
        <v>27</v>
      </c>
      <c r="AP11" s="26" t="s">
        <v>25</v>
      </c>
      <c r="AQ11" s="26" t="s">
        <v>26</v>
      </c>
      <c r="AR11" s="27" t="s">
        <v>245</v>
      </c>
      <c r="AS11" s="26" t="s">
        <v>243</v>
      </c>
      <c r="AT11" s="26" t="s">
        <v>246</v>
      </c>
      <c r="AU11" s="26" t="s">
        <v>244</v>
      </c>
      <c r="AV11" s="26" t="s">
        <v>233</v>
      </c>
      <c r="AW11" s="26" t="s">
        <v>254</v>
      </c>
      <c r="AX11" s="26" t="s">
        <v>241</v>
      </c>
      <c r="AY11" s="26" t="s">
        <v>242</v>
      </c>
      <c r="AZ11" s="26" t="s">
        <v>247</v>
      </c>
      <c r="BA11" s="26" t="s">
        <v>17</v>
      </c>
      <c r="BB11" s="24" t="s">
        <v>19</v>
      </c>
      <c r="BC11" s="24" t="s">
        <v>20</v>
      </c>
      <c r="BD11" s="24" t="s">
        <v>28</v>
      </c>
      <c r="BE11" s="26" t="s">
        <v>256</v>
      </c>
    </row>
    <row r="12" spans="2:58" ht="60" customHeight="1">
      <c r="B12" s="17">
        <v>1</v>
      </c>
      <c r="C12" s="18" t="s">
        <v>32</v>
      </c>
      <c r="D12" s="49" t="s">
        <v>33</v>
      </c>
      <c r="E12" s="50" t="s">
        <v>33</v>
      </c>
      <c r="F12" s="51" t="s">
        <v>33</v>
      </c>
      <c r="G12" s="18" t="s">
        <v>34</v>
      </c>
      <c r="H12" s="18">
        <v>24</v>
      </c>
      <c r="I12" s="18" t="s">
        <v>0</v>
      </c>
      <c r="J12" s="20">
        <v>7244</v>
      </c>
      <c r="K12" s="20"/>
      <c r="L12" s="20">
        <v>7244</v>
      </c>
      <c r="M12" s="20">
        <v>7244</v>
      </c>
      <c r="N12" s="19" t="s">
        <v>240</v>
      </c>
      <c r="O12" s="10"/>
      <c r="P12" s="10"/>
      <c r="Q12" s="10"/>
      <c r="R12" s="10"/>
      <c r="S12" s="20">
        <v>9524</v>
      </c>
      <c r="T12" s="20"/>
      <c r="U12" s="20">
        <v>9524</v>
      </c>
      <c r="V12" s="20">
        <v>228576</v>
      </c>
      <c r="W12" s="11">
        <v>11000</v>
      </c>
      <c r="X12" s="11"/>
      <c r="Y12" s="11">
        <f>+W12+X12</f>
        <v>11000</v>
      </c>
      <c r="Z12" s="11">
        <f>H12*Y12</f>
        <v>264000</v>
      </c>
      <c r="AA12" s="21">
        <v>7810</v>
      </c>
      <c r="AB12" s="21"/>
      <c r="AC12" s="21">
        <v>7810</v>
      </c>
      <c r="AD12" s="21">
        <f t="shared" ref="AD12:AD43" si="0">H12*AC12</f>
        <v>187440</v>
      </c>
      <c r="AE12" s="11">
        <v>7810</v>
      </c>
      <c r="AF12" s="11"/>
      <c r="AG12" s="11">
        <v>7810</v>
      </c>
      <c r="AH12" s="11">
        <f t="shared" ref="AH12:AH39" si="1">H12*AG12</f>
        <v>187440</v>
      </c>
      <c r="AI12" s="21"/>
      <c r="AJ12" s="21"/>
      <c r="AK12" s="21"/>
      <c r="AL12" s="21"/>
      <c r="AM12" s="20">
        <f>+AVERAGE(Q12,U12,Y12,AC12,AG12,AK12)</f>
        <v>9036</v>
      </c>
      <c r="AN12" s="20">
        <f>MEDIAN(Q12,U12,Y12,AC12,AG12,AK12)</f>
        <v>8667</v>
      </c>
      <c r="AO12" s="20">
        <f>_xlfn.STDEV.P(Q12,U12,Y12,AC12,AG12,AK12)</f>
        <v>1332.4406178137922</v>
      </c>
      <c r="AP12" s="30">
        <f t="shared" ref="AP12:AP75" si="2">AN12-AO12</f>
        <v>7334.5593821862076</v>
      </c>
      <c r="AQ12" s="30">
        <f t="shared" ref="AQ12:AQ43" si="3">AN12+AO12</f>
        <v>9999.4406178137924</v>
      </c>
      <c r="AR12" s="13"/>
      <c r="AS12" s="13"/>
      <c r="AT12" s="13"/>
      <c r="AU12" s="13"/>
      <c r="AV12" s="14">
        <f>+(Y12-AQ12)/AQ12</f>
        <v>0.10006153548266812</v>
      </c>
      <c r="AW12" s="14"/>
      <c r="AX12" s="14"/>
      <c r="AY12" s="14"/>
      <c r="AZ12" s="15"/>
      <c r="BA12" s="20">
        <f>+AVERAGE(,U12,AC12,AG12)</f>
        <v>6286</v>
      </c>
      <c r="BB12" s="20">
        <f>+SMALL((U12,AC12,AG12),1)</f>
        <v>7810</v>
      </c>
      <c r="BC12" s="20">
        <f>BB12-M12</f>
        <v>566</v>
      </c>
      <c r="BD12" s="14">
        <f>(BB12-M12)/M12</f>
        <v>7.8133627829928221E-2</v>
      </c>
      <c r="BE12" s="20">
        <f t="shared" ref="BE12:BE24" si="4">+BB12</f>
        <v>7810</v>
      </c>
      <c r="BF12" s="12"/>
    </row>
    <row r="13" spans="2:58" ht="80.25" customHeight="1">
      <c r="B13" s="17">
        <v>2</v>
      </c>
      <c r="C13" s="18" t="s">
        <v>35</v>
      </c>
      <c r="D13" s="49" t="s">
        <v>36</v>
      </c>
      <c r="E13" s="50" t="s">
        <v>36</v>
      </c>
      <c r="F13" s="51" t="s">
        <v>36</v>
      </c>
      <c r="G13" s="18" t="s">
        <v>34</v>
      </c>
      <c r="H13" s="18">
        <v>24</v>
      </c>
      <c r="I13" s="18" t="s">
        <v>0</v>
      </c>
      <c r="J13" s="20">
        <v>5918</v>
      </c>
      <c r="K13" s="20"/>
      <c r="L13" s="20">
        <v>5918</v>
      </c>
      <c r="M13" s="20">
        <v>5918</v>
      </c>
      <c r="N13" s="19" t="s">
        <v>236</v>
      </c>
      <c r="O13" s="10"/>
      <c r="P13" s="10"/>
      <c r="Q13" s="10"/>
      <c r="R13" s="10"/>
      <c r="S13" s="20">
        <v>8083</v>
      </c>
      <c r="T13" s="20"/>
      <c r="U13" s="20">
        <v>8083</v>
      </c>
      <c r="V13" s="20">
        <v>193992</v>
      </c>
      <c r="W13" s="11">
        <v>7634.5238095238101</v>
      </c>
      <c r="X13" s="11"/>
      <c r="Y13" s="11">
        <f t="shared" ref="Y13:Y75" si="5">+W13+X13</f>
        <v>7634.5238095238101</v>
      </c>
      <c r="Z13" s="11">
        <f>H13*Y13</f>
        <v>183228.57142857145</v>
      </c>
      <c r="AA13" s="21">
        <v>6628</v>
      </c>
      <c r="AB13" s="21"/>
      <c r="AC13" s="21">
        <v>6628</v>
      </c>
      <c r="AD13" s="21">
        <f t="shared" si="0"/>
        <v>159072</v>
      </c>
      <c r="AE13" s="11">
        <v>6628</v>
      </c>
      <c r="AF13" s="11"/>
      <c r="AG13" s="11">
        <v>6628</v>
      </c>
      <c r="AH13" s="11">
        <f t="shared" si="1"/>
        <v>159072</v>
      </c>
      <c r="AI13" s="21"/>
      <c r="AJ13" s="21"/>
      <c r="AK13" s="21"/>
      <c r="AL13" s="21"/>
      <c r="AM13" s="20">
        <f t="shared" ref="AM13:AM76" si="6">+AVERAGE(Q13,U13,Y13,AC13,AG13,AK13)</f>
        <v>7243.3809523809523</v>
      </c>
      <c r="AN13" s="20">
        <f t="shared" ref="AN13:AN76" si="7">MEDIAN(Q13,U13,Y13,AC13,AG13,AK13)</f>
        <v>7131.2619047619046</v>
      </c>
      <c r="AO13" s="20">
        <f t="shared" ref="AO13:AO76" si="8">_xlfn.STDEV.P(Q13,U13,Y13,AC13,AG13,AK13)</f>
        <v>635.48019499532211</v>
      </c>
      <c r="AP13" s="30">
        <f t="shared" si="2"/>
        <v>6495.7817097665829</v>
      </c>
      <c r="AQ13" s="30">
        <f t="shared" si="3"/>
        <v>7766.7420997572262</v>
      </c>
      <c r="AR13" s="13"/>
      <c r="AS13" s="13"/>
      <c r="AT13" s="13"/>
      <c r="AU13" s="13"/>
      <c r="AV13" s="14"/>
      <c r="AW13" s="14"/>
      <c r="AX13" s="14">
        <f>+(U13-AQ13)/AQ13</f>
        <v>4.0719505834069011E-2</v>
      </c>
      <c r="AY13" s="15"/>
      <c r="AZ13" s="15"/>
      <c r="BA13" s="20">
        <f>+AVERAGE(Y13,AC13,AG13)</f>
        <v>6963.5079365079364</v>
      </c>
      <c r="BB13" s="20">
        <f>+SMALL((Y13,AC13,AG13),1)</f>
        <v>6628</v>
      </c>
      <c r="BC13" s="20">
        <f t="shared" ref="BC13:BC76" si="9">BB13-M13</f>
        <v>710</v>
      </c>
      <c r="BD13" s="14">
        <f t="shared" ref="BD13:BD76" si="10">(BB13-M13)/M13</f>
        <v>0.11997296383913485</v>
      </c>
      <c r="BE13" s="20">
        <f t="shared" si="4"/>
        <v>6628</v>
      </c>
      <c r="BF13" s="12"/>
    </row>
    <row r="14" spans="2:58" ht="49.5" customHeight="1">
      <c r="B14" s="17">
        <v>3</v>
      </c>
      <c r="C14" s="18" t="s">
        <v>37</v>
      </c>
      <c r="D14" s="49" t="s">
        <v>38</v>
      </c>
      <c r="E14" s="50" t="s">
        <v>38</v>
      </c>
      <c r="F14" s="51" t="s">
        <v>38</v>
      </c>
      <c r="G14" s="18" t="s">
        <v>39</v>
      </c>
      <c r="H14" s="18">
        <v>24</v>
      </c>
      <c r="I14" s="18" t="s">
        <v>0</v>
      </c>
      <c r="J14" s="20">
        <v>44735</v>
      </c>
      <c r="K14" s="20"/>
      <c r="L14" s="20">
        <v>44735</v>
      </c>
      <c r="M14" s="20">
        <v>44735</v>
      </c>
      <c r="N14" s="19" t="s">
        <v>236</v>
      </c>
      <c r="O14" s="10"/>
      <c r="P14" s="10"/>
      <c r="Q14" s="10"/>
      <c r="R14" s="10"/>
      <c r="S14" s="20">
        <v>60010</v>
      </c>
      <c r="T14" s="20"/>
      <c r="U14" s="20">
        <v>60010</v>
      </c>
      <c r="V14" s="20">
        <v>1440240</v>
      </c>
      <c r="W14" s="11">
        <v>52861.904761904763</v>
      </c>
      <c r="X14" s="11"/>
      <c r="Y14" s="11">
        <f t="shared" si="5"/>
        <v>52861.904761904763</v>
      </c>
      <c r="Z14" s="11">
        <f>H14*Y14</f>
        <v>1268685.7142857143</v>
      </c>
      <c r="AA14" s="21">
        <v>49208</v>
      </c>
      <c r="AB14" s="21"/>
      <c r="AC14" s="21">
        <v>49208</v>
      </c>
      <c r="AD14" s="21">
        <f t="shared" si="0"/>
        <v>1180992</v>
      </c>
      <c r="AE14" s="11">
        <v>49208</v>
      </c>
      <c r="AF14" s="11"/>
      <c r="AG14" s="11">
        <v>49208</v>
      </c>
      <c r="AH14" s="11">
        <f t="shared" si="1"/>
        <v>1180992</v>
      </c>
      <c r="AI14" s="21"/>
      <c r="AJ14" s="21"/>
      <c r="AK14" s="21"/>
      <c r="AL14" s="21"/>
      <c r="AM14" s="20">
        <f t="shared" si="6"/>
        <v>52821.976190476191</v>
      </c>
      <c r="AN14" s="20">
        <f t="shared" si="7"/>
        <v>51034.952380952382</v>
      </c>
      <c r="AO14" s="20">
        <f t="shared" si="8"/>
        <v>4409.9582874375101</v>
      </c>
      <c r="AP14" s="30">
        <f t="shared" si="2"/>
        <v>46624.99409351487</v>
      </c>
      <c r="AQ14" s="30">
        <f t="shared" si="3"/>
        <v>55444.910668389894</v>
      </c>
      <c r="AR14" s="13"/>
      <c r="AS14" s="13"/>
      <c r="AT14" s="13"/>
      <c r="AU14" s="13"/>
      <c r="AV14" s="15"/>
      <c r="AW14" s="15"/>
      <c r="AX14" s="14">
        <f>+(U14-AQ14)/AQ14</f>
        <v>8.233558818253707E-2</v>
      </c>
      <c r="AY14" s="15"/>
      <c r="AZ14" s="15"/>
      <c r="BA14" s="20">
        <f>+AVERAGE(Y14,AC14,AG14)</f>
        <v>50425.968253968254</v>
      </c>
      <c r="BB14" s="20">
        <f>+SMALL((Y14,AC14,AG14),1)</f>
        <v>49208</v>
      </c>
      <c r="BC14" s="20">
        <f t="shared" si="9"/>
        <v>4473</v>
      </c>
      <c r="BD14" s="14">
        <f t="shared" si="10"/>
        <v>9.9988823069185204E-2</v>
      </c>
      <c r="BE14" s="20">
        <f t="shared" si="4"/>
        <v>49208</v>
      </c>
      <c r="BF14" s="12"/>
    </row>
    <row r="15" spans="2:58" ht="49.5" customHeight="1">
      <c r="B15" s="17">
        <v>4</v>
      </c>
      <c r="C15" s="18" t="s">
        <v>40</v>
      </c>
      <c r="D15" s="49" t="s">
        <v>41</v>
      </c>
      <c r="E15" s="50" t="s">
        <v>41</v>
      </c>
      <c r="F15" s="51" t="s">
        <v>41</v>
      </c>
      <c r="G15" s="18" t="s">
        <v>42</v>
      </c>
      <c r="H15" s="18">
        <v>24</v>
      </c>
      <c r="I15" s="18" t="s">
        <v>0</v>
      </c>
      <c r="J15" s="20">
        <v>28211</v>
      </c>
      <c r="K15" s="20"/>
      <c r="L15" s="20">
        <v>28211</v>
      </c>
      <c r="M15" s="20">
        <v>28211</v>
      </c>
      <c r="N15" s="19" t="s">
        <v>236</v>
      </c>
      <c r="O15" s="10"/>
      <c r="P15" s="10"/>
      <c r="Q15" s="10"/>
      <c r="R15" s="10"/>
      <c r="S15" s="20">
        <v>37500</v>
      </c>
      <c r="T15" s="20"/>
      <c r="U15" s="20">
        <v>37500</v>
      </c>
      <c r="V15" s="20">
        <v>900000</v>
      </c>
      <c r="W15" s="11">
        <v>29911.904761904763</v>
      </c>
      <c r="X15" s="11"/>
      <c r="Y15" s="11">
        <f t="shared" si="5"/>
        <v>29911.904761904763</v>
      </c>
      <c r="Z15" s="11">
        <f>H15*Y15</f>
        <v>717885.71428571432</v>
      </c>
      <c r="AA15" s="21">
        <v>30750</v>
      </c>
      <c r="AB15" s="21"/>
      <c r="AC15" s="21">
        <v>30750</v>
      </c>
      <c r="AD15" s="21">
        <f t="shared" si="0"/>
        <v>738000</v>
      </c>
      <c r="AE15" s="11">
        <v>30750</v>
      </c>
      <c r="AF15" s="11"/>
      <c r="AG15" s="11">
        <v>30750</v>
      </c>
      <c r="AH15" s="11">
        <f t="shared" si="1"/>
        <v>738000</v>
      </c>
      <c r="AI15" s="21"/>
      <c r="AJ15" s="21"/>
      <c r="AK15" s="21"/>
      <c r="AL15" s="21"/>
      <c r="AM15" s="20">
        <f t="shared" si="6"/>
        <v>32227.976190476191</v>
      </c>
      <c r="AN15" s="20">
        <f t="shared" si="7"/>
        <v>30750</v>
      </c>
      <c r="AO15" s="20">
        <f t="shared" si="8"/>
        <v>3062.9744183415837</v>
      </c>
      <c r="AP15" s="30">
        <f t="shared" si="2"/>
        <v>27687.025581658418</v>
      </c>
      <c r="AQ15" s="30">
        <f t="shared" si="3"/>
        <v>33812.974418341582</v>
      </c>
      <c r="AR15" s="13"/>
      <c r="AS15" s="13"/>
      <c r="AT15" s="13"/>
      <c r="AU15" s="13"/>
      <c r="AV15" s="15"/>
      <c r="AW15" s="15"/>
      <c r="AX15" s="14">
        <f>+(U15-AQ15)/AQ15</f>
        <v>0.10904174048818431</v>
      </c>
      <c r="AY15" s="15"/>
      <c r="AZ15" s="15"/>
      <c r="BA15" s="20">
        <f>+AVERAGE(Y15,AC15,AG15)</f>
        <v>30470.634920634922</v>
      </c>
      <c r="BB15" s="20">
        <f>+SMALL((Y15,AC15,AG15),1)</f>
        <v>29911.904761904763</v>
      </c>
      <c r="BC15" s="20">
        <f t="shared" si="9"/>
        <v>1700.9047619047633</v>
      </c>
      <c r="BD15" s="14">
        <f t="shared" si="10"/>
        <v>6.0292253443861021E-2</v>
      </c>
      <c r="BE15" s="20">
        <f t="shared" si="4"/>
        <v>29911.904761904763</v>
      </c>
      <c r="BF15" s="12"/>
    </row>
    <row r="16" spans="2:58" ht="89.25" customHeight="1">
      <c r="B16" s="17">
        <v>5</v>
      </c>
      <c r="C16" s="18" t="s">
        <v>43</v>
      </c>
      <c r="D16" s="49" t="s">
        <v>44</v>
      </c>
      <c r="E16" s="50" t="s">
        <v>44</v>
      </c>
      <c r="F16" s="51" t="s">
        <v>44</v>
      </c>
      <c r="G16" s="18" t="s">
        <v>34</v>
      </c>
      <c r="H16" s="18">
        <v>24</v>
      </c>
      <c r="I16" s="18" t="s">
        <v>0</v>
      </c>
      <c r="J16" s="20">
        <v>11900</v>
      </c>
      <c r="K16" s="20"/>
      <c r="L16" s="20">
        <v>11900</v>
      </c>
      <c r="M16" s="20">
        <v>11900</v>
      </c>
      <c r="N16" s="19" t="s">
        <v>236</v>
      </c>
      <c r="O16" s="10"/>
      <c r="P16" s="10"/>
      <c r="Q16" s="10"/>
      <c r="R16" s="10"/>
      <c r="S16" s="20">
        <v>14784</v>
      </c>
      <c r="T16" s="20"/>
      <c r="U16" s="20">
        <v>14784</v>
      </c>
      <c r="V16" s="20">
        <v>354816</v>
      </c>
      <c r="W16" s="21"/>
      <c r="X16" s="11"/>
      <c r="Y16" s="11"/>
      <c r="Z16" s="11"/>
      <c r="AA16" s="21">
        <v>12123</v>
      </c>
      <c r="AB16" s="21"/>
      <c r="AC16" s="21">
        <v>12123</v>
      </c>
      <c r="AD16" s="21">
        <f t="shared" si="0"/>
        <v>290952</v>
      </c>
      <c r="AE16" s="11">
        <v>12123</v>
      </c>
      <c r="AF16" s="11"/>
      <c r="AG16" s="11">
        <v>12123</v>
      </c>
      <c r="AH16" s="11">
        <f t="shared" si="1"/>
        <v>290952</v>
      </c>
      <c r="AI16" s="21"/>
      <c r="AJ16" s="21"/>
      <c r="AK16" s="21"/>
      <c r="AL16" s="21"/>
      <c r="AM16" s="20">
        <f t="shared" si="6"/>
        <v>13010</v>
      </c>
      <c r="AN16" s="20">
        <f t="shared" si="7"/>
        <v>12123</v>
      </c>
      <c r="AO16" s="20">
        <f t="shared" si="8"/>
        <v>1254.4074298249352</v>
      </c>
      <c r="AP16" s="30">
        <f t="shared" si="2"/>
        <v>10868.592570175064</v>
      </c>
      <c r="AQ16" s="30">
        <f t="shared" si="3"/>
        <v>13377.407429824936</v>
      </c>
      <c r="AR16" s="13"/>
      <c r="AS16" s="13"/>
      <c r="AT16" s="13"/>
      <c r="AU16" s="13"/>
      <c r="AV16" s="15"/>
      <c r="AW16" s="15"/>
      <c r="AX16" s="14">
        <f>+(U16-AQ16)/AQ16</f>
        <v>0.10514687375365911</v>
      </c>
      <c r="AY16" s="15"/>
      <c r="AZ16" s="15"/>
      <c r="BA16" s="20">
        <f>+AVERAGE(AC16,AG16)</f>
        <v>12123</v>
      </c>
      <c r="BB16" s="20">
        <f>+SMALL((AC16,AG16),1)</f>
        <v>12123</v>
      </c>
      <c r="BC16" s="20">
        <f t="shared" si="9"/>
        <v>223</v>
      </c>
      <c r="BD16" s="14">
        <f t="shared" si="10"/>
        <v>1.8739495798319329E-2</v>
      </c>
      <c r="BE16" s="20">
        <f t="shared" si="4"/>
        <v>12123</v>
      </c>
      <c r="BF16" s="12"/>
    </row>
    <row r="17" spans="2:58" ht="54" customHeight="1">
      <c r="B17" s="17">
        <v>6</v>
      </c>
      <c r="C17" s="18" t="s">
        <v>45</v>
      </c>
      <c r="D17" s="49" t="s">
        <v>46</v>
      </c>
      <c r="E17" s="50" t="s">
        <v>46</v>
      </c>
      <c r="F17" s="51" t="s">
        <v>46</v>
      </c>
      <c r="G17" s="18" t="s">
        <v>47</v>
      </c>
      <c r="H17" s="18">
        <v>30</v>
      </c>
      <c r="I17" s="18" t="s">
        <v>0</v>
      </c>
      <c r="J17" s="20"/>
      <c r="K17" s="20"/>
      <c r="L17" s="20"/>
      <c r="M17" s="20"/>
      <c r="N17" s="19"/>
      <c r="O17" s="10">
        <v>45883</v>
      </c>
      <c r="P17" s="10"/>
      <c r="Q17" s="10">
        <f t="shared" ref="Q17:Q51" si="11">+O17+P17</f>
        <v>45883</v>
      </c>
      <c r="R17" s="10">
        <f>+Q17*H17</f>
        <v>1376490</v>
      </c>
      <c r="S17" s="20">
        <v>29324</v>
      </c>
      <c r="T17" s="20"/>
      <c r="U17" s="20">
        <v>29324</v>
      </c>
      <c r="V17" s="20">
        <v>879720</v>
      </c>
      <c r="W17" s="21"/>
      <c r="X17" s="11"/>
      <c r="Y17" s="11"/>
      <c r="Z17" s="11"/>
      <c r="AA17" s="21">
        <v>24046</v>
      </c>
      <c r="AB17" s="21"/>
      <c r="AC17" s="21">
        <v>24046</v>
      </c>
      <c r="AD17" s="21">
        <f t="shared" si="0"/>
        <v>721380</v>
      </c>
      <c r="AE17" s="11">
        <v>24411</v>
      </c>
      <c r="AF17" s="11"/>
      <c r="AG17" s="11">
        <v>24411</v>
      </c>
      <c r="AH17" s="11">
        <f t="shared" si="1"/>
        <v>732330</v>
      </c>
      <c r="AI17" s="21"/>
      <c r="AJ17" s="21"/>
      <c r="AK17" s="21"/>
      <c r="AL17" s="21"/>
      <c r="AM17" s="20">
        <f t="shared" si="6"/>
        <v>30916</v>
      </c>
      <c r="AN17" s="20">
        <f t="shared" si="7"/>
        <v>26867.5</v>
      </c>
      <c r="AO17" s="20">
        <f t="shared" si="8"/>
        <v>8889.0027280904796</v>
      </c>
      <c r="AP17" s="30">
        <f>AN17-AO17</f>
        <v>17978.49727190952</v>
      </c>
      <c r="AQ17" s="30">
        <f t="shared" si="3"/>
        <v>35756.502728090476</v>
      </c>
      <c r="AR17" s="13"/>
      <c r="AS17" s="13"/>
      <c r="AT17" s="13"/>
      <c r="AU17" s="13"/>
      <c r="AV17" s="15"/>
      <c r="AW17" s="14">
        <f>(Q17-AQ17)/AQ17</f>
        <v>0.28320715112762135</v>
      </c>
      <c r="AX17" s="14"/>
      <c r="AY17" s="15"/>
      <c r="AZ17" s="15"/>
      <c r="BA17" s="20">
        <f>AVERAGE(U17,AC17,AG17)</f>
        <v>25927</v>
      </c>
      <c r="BB17" s="20">
        <f>SMALL((U17,AC17,AG17),1)</f>
        <v>24046</v>
      </c>
      <c r="BC17" s="20"/>
      <c r="BD17" s="14"/>
      <c r="BE17" s="20">
        <f t="shared" si="4"/>
        <v>24046</v>
      </c>
      <c r="BF17" s="12"/>
    </row>
    <row r="18" spans="2:58" ht="42" customHeight="1">
      <c r="B18" s="17">
        <v>7</v>
      </c>
      <c r="C18" s="18" t="s">
        <v>48</v>
      </c>
      <c r="D18" s="49" t="s">
        <v>49</v>
      </c>
      <c r="E18" s="50" t="s">
        <v>49</v>
      </c>
      <c r="F18" s="51" t="s">
        <v>49</v>
      </c>
      <c r="G18" s="18" t="s">
        <v>50</v>
      </c>
      <c r="H18" s="18">
        <v>30</v>
      </c>
      <c r="I18" s="18" t="s">
        <v>0</v>
      </c>
      <c r="J18" s="20"/>
      <c r="K18" s="20"/>
      <c r="L18" s="20"/>
      <c r="M18" s="20"/>
      <c r="N18" s="19"/>
      <c r="O18" s="10"/>
      <c r="P18" s="10"/>
      <c r="Q18" s="10"/>
      <c r="R18" s="10"/>
      <c r="S18" s="20">
        <v>40916</v>
      </c>
      <c r="T18" s="20"/>
      <c r="U18" s="20">
        <v>40916</v>
      </c>
      <c r="V18" s="20">
        <v>1227480</v>
      </c>
      <c r="W18" s="21"/>
      <c r="X18" s="11"/>
      <c r="Y18" s="11"/>
      <c r="Z18" s="11"/>
      <c r="AA18" s="21">
        <v>33776</v>
      </c>
      <c r="AB18" s="21"/>
      <c r="AC18" s="21">
        <v>33776</v>
      </c>
      <c r="AD18" s="21">
        <f t="shared" si="0"/>
        <v>1013280</v>
      </c>
      <c r="AE18" s="11">
        <v>32983</v>
      </c>
      <c r="AF18" s="11"/>
      <c r="AG18" s="11">
        <v>32983</v>
      </c>
      <c r="AH18" s="11">
        <f t="shared" si="1"/>
        <v>989490</v>
      </c>
      <c r="AI18" s="21">
        <v>29710</v>
      </c>
      <c r="AJ18" s="21"/>
      <c r="AK18" s="21">
        <v>29710</v>
      </c>
      <c r="AL18" s="21">
        <v>891300</v>
      </c>
      <c r="AM18" s="20">
        <f t="shared" si="6"/>
        <v>34346.25</v>
      </c>
      <c r="AN18" s="20">
        <f t="shared" si="7"/>
        <v>33379.5</v>
      </c>
      <c r="AO18" s="20">
        <f t="shared" si="8"/>
        <v>4087.7886671769124</v>
      </c>
      <c r="AP18" s="30">
        <f t="shared" si="2"/>
        <v>29291.711332823088</v>
      </c>
      <c r="AQ18" s="30">
        <f t="shared" si="3"/>
        <v>37467.288667176916</v>
      </c>
      <c r="AR18" s="13"/>
      <c r="AS18" s="13"/>
      <c r="AT18" s="13"/>
      <c r="AU18" s="13"/>
      <c r="AV18" s="15"/>
      <c r="AW18" s="15"/>
      <c r="AX18" s="14">
        <f>+(U18-AQ18)/AQ18</f>
        <v>9.2045927407720746E-2</v>
      </c>
      <c r="AY18" s="15"/>
      <c r="AZ18" s="15"/>
      <c r="BA18" s="20">
        <f>+AVERAGE(AC18,AG18,AK18)</f>
        <v>32156.333333333332</v>
      </c>
      <c r="BB18" s="20">
        <f>+SMALL((AC18,AG18,AK18),1)</f>
        <v>29710</v>
      </c>
      <c r="BC18" s="20"/>
      <c r="BD18" s="14"/>
      <c r="BE18" s="20">
        <f t="shared" si="4"/>
        <v>29710</v>
      </c>
      <c r="BF18" s="12"/>
    </row>
    <row r="19" spans="2:58" ht="42.75" customHeight="1">
      <c r="B19" s="17">
        <v>8</v>
      </c>
      <c r="C19" s="18" t="s">
        <v>51</v>
      </c>
      <c r="D19" s="49" t="s">
        <v>52</v>
      </c>
      <c r="E19" s="50" t="s">
        <v>52</v>
      </c>
      <c r="F19" s="51" t="s">
        <v>52</v>
      </c>
      <c r="G19" s="18" t="s">
        <v>53</v>
      </c>
      <c r="H19" s="18">
        <v>24</v>
      </c>
      <c r="I19" s="18" t="s">
        <v>0</v>
      </c>
      <c r="J19" s="20">
        <v>7762</v>
      </c>
      <c r="K19" s="20"/>
      <c r="L19" s="20">
        <v>7762</v>
      </c>
      <c r="M19" s="20">
        <v>7762</v>
      </c>
      <c r="N19" s="19" t="s">
        <v>240</v>
      </c>
      <c r="O19" s="10"/>
      <c r="P19" s="10"/>
      <c r="Q19" s="10"/>
      <c r="R19" s="10"/>
      <c r="S19" s="20">
        <v>10318</v>
      </c>
      <c r="T19" s="20"/>
      <c r="U19" s="20">
        <v>10318</v>
      </c>
      <c r="V19" s="20">
        <v>247632</v>
      </c>
      <c r="W19" s="11">
        <v>11000</v>
      </c>
      <c r="X19" s="11"/>
      <c r="Y19" s="11">
        <f t="shared" si="5"/>
        <v>11000</v>
      </c>
      <c r="Z19" s="11">
        <f>H19*Y19</f>
        <v>264000</v>
      </c>
      <c r="AA19" s="21">
        <v>8461</v>
      </c>
      <c r="AB19" s="21"/>
      <c r="AC19" s="21">
        <v>8461</v>
      </c>
      <c r="AD19" s="21">
        <f t="shared" si="0"/>
        <v>203064</v>
      </c>
      <c r="AE19" s="11">
        <v>8461</v>
      </c>
      <c r="AF19" s="11"/>
      <c r="AG19" s="11">
        <v>8461</v>
      </c>
      <c r="AH19" s="11">
        <f t="shared" si="1"/>
        <v>203064</v>
      </c>
      <c r="AI19" s="21"/>
      <c r="AJ19" s="21"/>
      <c r="AK19" s="21"/>
      <c r="AL19" s="21"/>
      <c r="AM19" s="20">
        <f t="shared" si="6"/>
        <v>9560</v>
      </c>
      <c r="AN19" s="20">
        <f t="shared" si="7"/>
        <v>9389.5</v>
      </c>
      <c r="AO19" s="20">
        <f t="shared" si="8"/>
        <v>1125.1406578734945</v>
      </c>
      <c r="AP19" s="30">
        <f t="shared" si="2"/>
        <v>8264.359342126505</v>
      </c>
      <c r="AQ19" s="30">
        <f t="shared" si="3"/>
        <v>10514.640657873495</v>
      </c>
      <c r="AR19" s="13"/>
      <c r="AS19" s="13"/>
      <c r="AT19" s="13"/>
      <c r="AU19" s="13"/>
      <c r="AV19" s="14">
        <f>+(Y19-AQ19)/AQ19</f>
        <v>4.6160335661405781E-2</v>
      </c>
      <c r="AW19" s="14"/>
      <c r="AX19" s="14"/>
      <c r="AY19" s="15"/>
      <c r="AZ19" s="15"/>
      <c r="BA19" s="20">
        <f>+AVERAGE(U19,AC19,AG19)</f>
        <v>9080</v>
      </c>
      <c r="BB19" s="20">
        <f>+SMALL((U19,AC19,AG19),1)</f>
        <v>8461</v>
      </c>
      <c r="BC19" s="20">
        <f t="shared" si="9"/>
        <v>699</v>
      </c>
      <c r="BD19" s="14">
        <f t="shared" si="10"/>
        <v>9.0054109765524346E-2</v>
      </c>
      <c r="BE19" s="20">
        <f t="shared" si="4"/>
        <v>8461</v>
      </c>
      <c r="BF19" s="12"/>
    </row>
    <row r="20" spans="2:58" ht="48" customHeight="1">
      <c r="B20" s="17">
        <v>9</v>
      </c>
      <c r="C20" s="18" t="s">
        <v>54</v>
      </c>
      <c r="D20" s="49" t="s">
        <v>55</v>
      </c>
      <c r="E20" s="50" t="s">
        <v>55</v>
      </c>
      <c r="F20" s="51" t="s">
        <v>55</v>
      </c>
      <c r="G20" s="18" t="s">
        <v>53</v>
      </c>
      <c r="H20" s="18">
        <v>24</v>
      </c>
      <c r="I20" s="18" t="s">
        <v>0</v>
      </c>
      <c r="J20" s="20">
        <v>10865</v>
      </c>
      <c r="K20" s="20"/>
      <c r="L20" s="20">
        <v>10865</v>
      </c>
      <c r="M20" s="20">
        <v>10865</v>
      </c>
      <c r="N20" s="19" t="s">
        <v>240</v>
      </c>
      <c r="O20" s="10">
        <v>10871</v>
      </c>
      <c r="P20" s="10"/>
      <c r="Q20" s="10">
        <f t="shared" si="11"/>
        <v>10871</v>
      </c>
      <c r="R20" s="10">
        <f>+Q20*H20</f>
        <v>260904</v>
      </c>
      <c r="S20" s="20">
        <v>78328</v>
      </c>
      <c r="T20" s="20"/>
      <c r="U20" s="20">
        <v>78328</v>
      </c>
      <c r="V20" s="20">
        <v>1879872</v>
      </c>
      <c r="W20" s="11">
        <v>11000</v>
      </c>
      <c r="X20" s="11"/>
      <c r="Y20" s="11">
        <f t="shared" si="5"/>
        <v>11000</v>
      </c>
      <c r="Z20" s="11">
        <f>H20*Y20</f>
        <v>264000</v>
      </c>
      <c r="AA20" s="21">
        <v>10985</v>
      </c>
      <c r="AB20" s="21"/>
      <c r="AC20" s="21">
        <v>10985</v>
      </c>
      <c r="AD20" s="21">
        <f t="shared" si="0"/>
        <v>263640</v>
      </c>
      <c r="AE20" s="11">
        <v>52956</v>
      </c>
      <c r="AF20" s="11"/>
      <c r="AG20" s="11">
        <v>52956</v>
      </c>
      <c r="AH20" s="11">
        <f t="shared" si="1"/>
        <v>1270944</v>
      </c>
      <c r="AI20" s="21"/>
      <c r="AJ20" s="21"/>
      <c r="AK20" s="21"/>
      <c r="AL20" s="21"/>
      <c r="AM20" s="20">
        <f t="shared" si="6"/>
        <v>32828</v>
      </c>
      <c r="AN20" s="20">
        <f t="shared" si="7"/>
        <v>11000</v>
      </c>
      <c r="AO20" s="20">
        <f t="shared" si="8"/>
        <v>27968.10492686267</v>
      </c>
      <c r="AP20" s="30">
        <f t="shared" si="2"/>
        <v>-16968.10492686267</v>
      </c>
      <c r="AQ20" s="30">
        <f t="shared" si="3"/>
        <v>38968.104926862667</v>
      </c>
      <c r="AR20" s="13"/>
      <c r="AS20" s="13"/>
      <c r="AT20" s="13"/>
      <c r="AU20" s="13"/>
      <c r="AV20" s="15"/>
      <c r="AW20" s="15"/>
      <c r="AX20" s="14">
        <f t="shared" ref="AX20" si="12">+(U20-AQ20)/AQ20</f>
        <v>1.0100541236739635</v>
      </c>
      <c r="AY20" s="15"/>
      <c r="AZ20" s="14">
        <f>(AG20-AQ20)/AQ20</f>
        <v>0.35895753974668593</v>
      </c>
      <c r="BA20" s="20">
        <f>AVERAGE(Q20,Y20,AC20)</f>
        <v>10952</v>
      </c>
      <c r="BB20" s="20">
        <f>SMALL((Q20,Y20,AC20),1)</f>
        <v>10871</v>
      </c>
      <c r="BC20" s="20">
        <f t="shared" si="9"/>
        <v>6</v>
      </c>
      <c r="BD20" s="14">
        <f t="shared" si="10"/>
        <v>5.5223193741371374E-4</v>
      </c>
      <c r="BE20" s="20">
        <f t="shared" si="4"/>
        <v>10871</v>
      </c>
      <c r="BF20" s="12"/>
    </row>
    <row r="21" spans="2:58" ht="52.5" customHeight="1">
      <c r="B21" s="17">
        <v>10</v>
      </c>
      <c r="C21" s="18" t="s">
        <v>56</v>
      </c>
      <c r="D21" s="49" t="s">
        <v>57</v>
      </c>
      <c r="E21" s="50" t="s">
        <v>57</v>
      </c>
      <c r="F21" s="51" t="s">
        <v>57</v>
      </c>
      <c r="G21" s="18" t="s">
        <v>58</v>
      </c>
      <c r="H21" s="18">
        <v>24</v>
      </c>
      <c r="I21" s="18" t="s">
        <v>0</v>
      </c>
      <c r="J21" s="20">
        <v>6468</v>
      </c>
      <c r="K21" s="20"/>
      <c r="L21" s="20">
        <v>6468</v>
      </c>
      <c r="M21" s="20">
        <v>6468</v>
      </c>
      <c r="N21" s="19" t="s">
        <v>236</v>
      </c>
      <c r="O21" s="10"/>
      <c r="P21" s="10"/>
      <c r="Q21" s="10"/>
      <c r="R21" s="10"/>
      <c r="S21" s="20">
        <v>9585</v>
      </c>
      <c r="T21" s="20"/>
      <c r="U21" s="20">
        <v>9585</v>
      </c>
      <c r="V21" s="20">
        <v>230040</v>
      </c>
      <c r="W21" s="11">
        <v>12932.142857142857</v>
      </c>
      <c r="X21" s="11"/>
      <c r="Y21" s="11">
        <f t="shared" si="5"/>
        <v>12932.142857142857</v>
      </c>
      <c r="Z21" s="11">
        <f>H21*Y21</f>
        <v>310371.42857142858</v>
      </c>
      <c r="AA21" s="21">
        <v>7860</v>
      </c>
      <c r="AB21" s="21"/>
      <c r="AC21" s="21">
        <v>7860</v>
      </c>
      <c r="AD21" s="21">
        <f t="shared" si="0"/>
        <v>188640</v>
      </c>
      <c r="AE21" s="11">
        <v>7860</v>
      </c>
      <c r="AF21" s="11"/>
      <c r="AG21" s="11">
        <v>7860</v>
      </c>
      <c r="AH21" s="11">
        <f t="shared" si="1"/>
        <v>188640</v>
      </c>
      <c r="AI21" s="21"/>
      <c r="AJ21" s="21"/>
      <c r="AK21" s="21"/>
      <c r="AL21" s="21"/>
      <c r="AM21" s="20">
        <f t="shared" si="6"/>
        <v>9559.2857142857138</v>
      </c>
      <c r="AN21" s="20">
        <f t="shared" si="7"/>
        <v>8722.5</v>
      </c>
      <c r="AO21" s="20">
        <f t="shared" si="8"/>
        <v>2070.7468705857864</v>
      </c>
      <c r="AP21" s="30">
        <f t="shared" si="2"/>
        <v>6651.7531294142136</v>
      </c>
      <c r="AQ21" s="30">
        <f t="shared" si="3"/>
        <v>10793.246870585786</v>
      </c>
      <c r="AR21" s="13"/>
      <c r="AS21" s="13"/>
      <c r="AT21" s="13"/>
      <c r="AU21" s="13"/>
      <c r="AV21" s="14">
        <f>+(Y21-AQ21)/AQ21</f>
        <v>0.19816983825192402</v>
      </c>
      <c r="AW21" s="14"/>
      <c r="AX21" s="14"/>
      <c r="AY21" s="15"/>
      <c r="AZ21" s="15"/>
      <c r="BA21" s="20">
        <f>+AVERAGE(U21,AC21,AG21)</f>
        <v>8435</v>
      </c>
      <c r="BB21" s="20">
        <f>+SMALL((U21,AC21,AG21),1)</f>
        <v>7860</v>
      </c>
      <c r="BC21" s="20">
        <f t="shared" si="9"/>
        <v>1392</v>
      </c>
      <c r="BD21" s="14">
        <f t="shared" si="10"/>
        <v>0.21521335807050093</v>
      </c>
      <c r="BE21" s="20">
        <f t="shared" si="4"/>
        <v>7860</v>
      </c>
      <c r="BF21" s="12"/>
    </row>
    <row r="22" spans="2:58" ht="41.1" customHeight="1">
      <c r="B22" s="17">
        <v>11</v>
      </c>
      <c r="C22" s="18" t="s">
        <v>59</v>
      </c>
      <c r="D22" s="49" t="s">
        <v>60</v>
      </c>
      <c r="E22" s="50" t="s">
        <v>60</v>
      </c>
      <c r="F22" s="51" t="s">
        <v>60</v>
      </c>
      <c r="G22" s="18" t="s">
        <v>61</v>
      </c>
      <c r="H22" s="18">
        <v>24</v>
      </c>
      <c r="I22" s="18" t="s">
        <v>0</v>
      </c>
      <c r="J22" s="20">
        <v>8254</v>
      </c>
      <c r="K22" s="20"/>
      <c r="L22" s="20">
        <v>8254</v>
      </c>
      <c r="M22" s="20">
        <v>8254</v>
      </c>
      <c r="N22" s="19" t="s">
        <v>236</v>
      </c>
      <c r="O22" s="10"/>
      <c r="P22" s="10"/>
      <c r="Q22" s="10"/>
      <c r="R22" s="10"/>
      <c r="S22" s="20"/>
      <c r="T22" s="20"/>
      <c r="U22" s="20"/>
      <c r="V22" s="20"/>
      <c r="W22" s="11">
        <v>11000</v>
      </c>
      <c r="X22" s="11"/>
      <c r="Y22" s="11">
        <f t="shared" si="5"/>
        <v>11000</v>
      </c>
      <c r="Z22" s="11">
        <f>H22*Y22</f>
        <v>264000</v>
      </c>
      <c r="AA22" s="21">
        <v>22200</v>
      </c>
      <c r="AB22" s="21"/>
      <c r="AC22" s="21">
        <v>22200</v>
      </c>
      <c r="AD22" s="21">
        <f t="shared" si="0"/>
        <v>532800</v>
      </c>
      <c r="AE22" s="11">
        <v>9079</v>
      </c>
      <c r="AF22" s="11"/>
      <c r="AG22" s="11">
        <v>9079</v>
      </c>
      <c r="AH22" s="11">
        <f t="shared" si="1"/>
        <v>217896</v>
      </c>
      <c r="AI22" s="21"/>
      <c r="AJ22" s="21"/>
      <c r="AK22" s="21"/>
      <c r="AL22" s="21"/>
      <c r="AM22" s="20">
        <f t="shared" si="6"/>
        <v>14093</v>
      </c>
      <c r="AN22" s="20">
        <f t="shared" si="7"/>
        <v>11000</v>
      </c>
      <c r="AO22" s="20">
        <f t="shared" si="8"/>
        <v>5785.9108761427242</v>
      </c>
      <c r="AP22" s="30">
        <f t="shared" si="2"/>
        <v>5214.0891238572758</v>
      </c>
      <c r="AQ22" s="30">
        <f t="shared" si="3"/>
        <v>16785.910876142723</v>
      </c>
      <c r="AR22" s="13"/>
      <c r="AS22" s="13"/>
      <c r="AT22" s="13"/>
      <c r="AU22" s="13"/>
      <c r="AV22" s="14"/>
      <c r="AW22" s="15"/>
      <c r="AX22" s="14"/>
      <c r="AY22" s="14">
        <f>+(AC22-AQ22)/AQ22</f>
        <v>0.32253770223170597</v>
      </c>
      <c r="AZ22" s="15"/>
      <c r="BA22" s="20">
        <f>+AVERAGE(U22,AC22,AG22)</f>
        <v>15639.5</v>
      </c>
      <c r="BB22" s="20">
        <f>+SMALL((Y22,AG22),1)</f>
        <v>9079</v>
      </c>
      <c r="BC22" s="20">
        <f t="shared" si="9"/>
        <v>825</v>
      </c>
      <c r="BD22" s="14">
        <f t="shared" si="10"/>
        <v>9.9951538647928273E-2</v>
      </c>
      <c r="BE22" s="20">
        <f t="shared" si="4"/>
        <v>9079</v>
      </c>
      <c r="BF22" s="12"/>
    </row>
    <row r="23" spans="2:58" ht="38.1" customHeight="1">
      <c r="B23" s="17">
        <v>12</v>
      </c>
      <c r="C23" s="18" t="s">
        <v>62</v>
      </c>
      <c r="D23" s="49" t="s">
        <v>63</v>
      </c>
      <c r="E23" s="50" t="s">
        <v>63</v>
      </c>
      <c r="F23" s="51" t="s">
        <v>63</v>
      </c>
      <c r="G23" s="18" t="s">
        <v>64</v>
      </c>
      <c r="H23" s="18">
        <v>12</v>
      </c>
      <c r="I23" s="18" t="s">
        <v>0</v>
      </c>
      <c r="J23" s="20">
        <v>35613</v>
      </c>
      <c r="K23" s="20"/>
      <c r="L23" s="20">
        <v>35613</v>
      </c>
      <c r="M23" s="20">
        <v>35613</v>
      </c>
      <c r="N23" s="19" t="s">
        <v>236</v>
      </c>
      <c r="O23" s="10"/>
      <c r="P23" s="10"/>
      <c r="Q23" s="10"/>
      <c r="R23" s="10"/>
      <c r="S23" s="20">
        <v>46471</v>
      </c>
      <c r="T23" s="20"/>
      <c r="U23" s="20">
        <v>46471</v>
      </c>
      <c r="V23" s="20">
        <v>557652</v>
      </c>
      <c r="W23" s="21"/>
      <c r="X23" s="11"/>
      <c r="Y23" s="11"/>
      <c r="Z23" s="11"/>
      <c r="AA23" s="21">
        <v>42340</v>
      </c>
      <c r="AB23" s="21"/>
      <c r="AC23" s="21">
        <v>42340</v>
      </c>
      <c r="AD23" s="21">
        <f t="shared" si="0"/>
        <v>508080</v>
      </c>
      <c r="AE23" s="11">
        <v>38106</v>
      </c>
      <c r="AF23" s="11"/>
      <c r="AG23" s="11">
        <v>38106</v>
      </c>
      <c r="AH23" s="11">
        <f t="shared" si="1"/>
        <v>457272</v>
      </c>
      <c r="AI23" s="21">
        <v>33294</v>
      </c>
      <c r="AJ23" s="21"/>
      <c r="AK23" s="21">
        <v>33294</v>
      </c>
      <c r="AL23" s="21">
        <v>399528</v>
      </c>
      <c r="AM23" s="20">
        <f t="shared" si="6"/>
        <v>40052.75</v>
      </c>
      <c r="AN23" s="20">
        <f t="shared" si="7"/>
        <v>40223</v>
      </c>
      <c r="AO23" s="20">
        <f t="shared" si="8"/>
        <v>4896.3247122203811</v>
      </c>
      <c r="AP23" s="30">
        <f t="shared" si="2"/>
        <v>35326.675287779617</v>
      </c>
      <c r="AQ23" s="30">
        <f t="shared" si="3"/>
        <v>45119.324712220383</v>
      </c>
      <c r="AR23" s="13"/>
      <c r="AS23" s="13"/>
      <c r="AT23" s="13"/>
      <c r="AU23" s="13">
        <f>+(AP23-AK23)/AK23</f>
        <v>6.1052300347798912E-2</v>
      </c>
      <c r="AV23" s="14"/>
      <c r="AW23" s="15"/>
      <c r="AX23" s="14">
        <f t="shared" ref="AX23:AX28" si="13">+(U23-AQ23)/AQ23</f>
        <v>2.9957790733812144E-2</v>
      </c>
      <c r="AY23" s="15"/>
      <c r="AZ23" s="15"/>
      <c r="BA23" s="20">
        <f>+AVERAGE(AC23,AG23)</f>
        <v>40223</v>
      </c>
      <c r="BB23" s="20">
        <f>+SMALL((AC23,AG23),1)</f>
        <v>38106</v>
      </c>
      <c r="BC23" s="20">
        <f t="shared" si="9"/>
        <v>2493</v>
      </c>
      <c r="BD23" s="14">
        <f t="shared" si="10"/>
        <v>7.0002527167045747E-2</v>
      </c>
      <c r="BE23" s="20">
        <f t="shared" si="4"/>
        <v>38106</v>
      </c>
      <c r="BF23" s="12"/>
    </row>
    <row r="24" spans="2:58" ht="41.1" customHeight="1">
      <c r="B24" s="17">
        <v>13</v>
      </c>
      <c r="C24" s="18" t="s">
        <v>65</v>
      </c>
      <c r="D24" s="49" t="s">
        <v>66</v>
      </c>
      <c r="E24" s="50" t="s">
        <v>66</v>
      </c>
      <c r="F24" s="51" t="s">
        <v>66</v>
      </c>
      <c r="G24" s="18" t="s">
        <v>67</v>
      </c>
      <c r="H24" s="18">
        <v>48</v>
      </c>
      <c r="I24" s="18" t="s">
        <v>0</v>
      </c>
      <c r="J24" s="20">
        <v>33551</v>
      </c>
      <c r="K24" s="20"/>
      <c r="L24" s="20">
        <v>33551</v>
      </c>
      <c r="M24" s="20">
        <v>33551</v>
      </c>
      <c r="N24" s="19" t="s">
        <v>236</v>
      </c>
      <c r="O24" s="10"/>
      <c r="P24" s="10"/>
      <c r="Q24" s="10"/>
      <c r="R24" s="10"/>
      <c r="S24" s="20">
        <v>83360</v>
      </c>
      <c r="T24" s="20"/>
      <c r="U24" s="20">
        <v>83360</v>
      </c>
      <c r="V24" s="20">
        <v>4001280</v>
      </c>
      <c r="W24" s="21"/>
      <c r="X24" s="11"/>
      <c r="Y24" s="11"/>
      <c r="Z24" s="11"/>
      <c r="AA24" s="21">
        <v>73691</v>
      </c>
      <c r="AB24" s="21"/>
      <c r="AC24" s="21">
        <v>73691</v>
      </c>
      <c r="AD24" s="21">
        <f t="shared" si="0"/>
        <v>3537168</v>
      </c>
      <c r="AE24" s="11">
        <v>72279</v>
      </c>
      <c r="AF24" s="11"/>
      <c r="AG24" s="11">
        <v>72279</v>
      </c>
      <c r="AH24" s="11">
        <f t="shared" si="1"/>
        <v>3469392</v>
      </c>
      <c r="AI24" s="21">
        <v>64617</v>
      </c>
      <c r="AJ24" s="21"/>
      <c r="AK24" s="21">
        <v>64617</v>
      </c>
      <c r="AL24" s="21">
        <v>3101616</v>
      </c>
      <c r="AM24" s="20">
        <f t="shared" si="6"/>
        <v>73486.75</v>
      </c>
      <c r="AN24" s="20">
        <f t="shared" si="7"/>
        <v>72985</v>
      </c>
      <c r="AO24" s="20">
        <f t="shared" si="8"/>
        <v>6664.3437176889365</v>
      </c>
      <c r="AP24" s="30">
        <f t="shared" si="2"/>
        <v>66320.656282311058</v>
      </c>
      <c r="AQ24" s="30">
        <f t="shared" si="3"/>
        <v>79649.343717688942</v>
      </c>
      <c r="AR24" s="13"/>
      <c r="AS24" s="13"/>
      <c r="AT24" s="13"/>
      <c r="AU24" s="13">
        <f>+(AP24-AK24)/AK24</f>
        <v>2.6365449994754601E-2</v>
      </c>
      <c r="AV24" s="14"/>
      <c r="AW24" s="15"/>
      <c r="AX24" s="14">
        <f t="shared" si="13"/>
        <v>4.6587405609557785E-2</v>
      </c>
      <c r="AY24" s="15"/>
      <c r="AZ24" s="15"/>
      <c r="BA24" s="20">
        <f>+AVERAGE(AC24,AG24)</f>
        <v>72985</v>
      </c>
      <c r="BB24" s="20">
        <f>+SMALL((AC24,AG24),1)</f>
        <v>72279</v>
      </c>
      <c r="BC24" s="20">
        <f t="shared" si="9"/>
        <v>38728</v>
      </c>
      <c r="BD24" s="14">
        <f t="shared" si="10"/>
        <v>1.1543024052934339</v>
      </c>
      <c r="BE24" s="20">
        <f t="shared" si="4"/>
        <v>72279</v>
      </c>
      <c r="BF24" s="12"/>
    </row>
    <row r="25" spans="2:58" ht="35.1" customHeight="1">
      <c r="B25" s="17">
        <v>14</v>
      </c>
      <c r="C25" s="18" t="s">
        <v>68</v>
      </c>
      <c r="D25" s="49" t="s">
        <v>69</v>
      </c>
      <c r="E25" s="50" t="s">
        <v>69</v>
      </c>
      <c r="F25" s="51" t="s">
        <v>69</v>
      </c>
      <c r="G25" s="18" t="s">
        <v>70</v>
      </c>
      <c r="H25" s="18">
        <v>24</v>
      </c>
      <c r="I25" s="18" t="s">
        <v>0</v>
      </c>
      <c r="J25" s="20">
        <v>12917</v>
      </c>
      <c r="K25" s="20"/>
      <c r="L25" s="20">
        <v>12917</v>
      </c>
      <c r="M25" s="20">
        <v>12917</v>
      </c>
      <c r="N25" s="19" t="s">
        <v>236</v>
      </c>
      <c r="O25" s="10">
        <v>12780</v>
      </c>
      <c r="P25" s="10"/>
      <c r="Q25" s="10">
        <f t="shared" si="11"/>
        <v>12780</v>
      </c>
      <c r="R25" s="10">
        <f>+Q25*H25</f>
        <v>306720</v>
      </c>
      <c r="S25" s="20">
        <v>16224</v>
      </c>
      <c r="T25" s="20"/>
      <c r="U25" s="20">
        <v>16224</v>
      </c>
      <c r="V25" s="20">
        <v>389376</v>
      </c>
      <c r="W25" s="11">
        <v>11000</v>
      </c>
      <c r="X25" s="11"/>
      <c r="Y25" s="11">
        <f t="shared" si="5"/>
        <v>11000</v>
      </c>
      <c r="Z25" s="11">
        <f>H25*Y25</f>
        <v>264000</v>
      </c>
      <c r="AA25" s="21">
        <v>13304</v>
      </c>
      <c r="AB25" s="21"/>
      <c r="AC25" s="21">
        <v>13304</v>
      </c>
      <c r="AD25" s="21">
        <f t="shared" si="0"/>
        <v>319296</v>
      </c>
      <c r="AE25" s="11">
        <v>13304</v>
      </c>
      <c r="AF25" s="11"/>
      <c r="AG25" s="11">
        <v>13304</v>
      </c>
      <c r="AH25" s="11">
        <f t="shared" si="1"/>
        <v>319296</v>
      </c>
      <c r="AI25" s="21"/>
      <c r="AJ25" s="21"/>
      <c r="AK25" s="21"/>
      <c r="AL25" s="21"/>
      <c r="AM25" s="20">
        <f t="shared" si="6"/>
        <v>13322.4</v>
      </c>
      <c r="AN25" s="20">
        <f t="shared" si="7"/>
        <v>13304</v>
      </c>
      <c r="AO25" s="20">
        <f t="shared" si="8"/>
        <v>1679.7439804922653</v>
      </c>
      <c r="AP25" s="30">
        <f t="shared" si="2"/>
        <v>11624.256019507735</v>
      </c>
      <c r="AQ25" s="30">
        <f t="shared" si="3"/>
        <v>14983.743980492265</v>
      </c>
      <c r="AR25" s="13"/>
      <c r="AS25" s="13">
        <f>+(AP25-Y25)/Y25</f>
        <v>5.67505472279759E-2</v>
      </c>
      <c r="AT25" s="13"/>
      <c r="AU25" s="13"/>
      <c r="AV25" s="14"/>
      <c r="AW25" s="15"/>
      <c r="AX25" s="14">
        <f t="shared" si="13"/>
        <v>8.2773439076539029E-2</v>
      </c>
      <c r="AY25" s="15"/>
      <c r="AZ25" s="15"/>
      <c r="BA25" s="20">
        <f>+AVERAGE(Y25,AC25,AG25)</f>
        <v>12536</v>
      </c>
      <c r="BB25" s="20">
        <f>+SMALL((Y25,AC25,AG25),1)</f>
        <v>11000</v>
      </c>
      <c r="BC25" s="20">
        <f t="shared" si="9"/>
        <v>-1917</v>
      </c>
      <c r="BD25" s="14">
        <f t="shared" si="10"/>
        <v>-0.14840907331423706</v>
      </c>
      <c r="BE25" s="20">
        <f>M25</f>
        <v>12917</v>
      </c>
      <c r="BF25" s="12"/>
    </row>
    <row r="26" spans="2:58" ht="33" customHeight="1">
      <c r="B26" s="17">
        <v>15</v>
      </c>
      <c r="C26" s="18" t="s">
        <v>71</v>
      </c>
      <c r="D26" s="49" t="s">
        <v>72</v>
      </c>
      <c r="E26" s="50" t="s">
        <v>72</v>
      </c>
      <c r="F26" s="51" t="s">
        <v>72</v>
      </c>
      <c r="G26" s="18" t="s">
        <v>39</v>
      </c>
      <c r="H26" s="18">
        <v>100</v>
      </c>
      <c r="I26" s="18" t="s">
        <v>0</v>
      </c>
      <c r="J26" s="20">
        <v>48802</v>
      </c>
      <c r="K26" s="20"/>
      <c r="L26" s="20">
        <v>48802</v>
      </c>
      <c r="M26" s="20">
        <v>48802</v>
      </c>
      <c r="N26" s="19" t="s">
        <v>236</v>
      </c>
      <c r="O26" s="10"/>
      <c r="P26" s="10"/>
      <c r="Q26" s="10"/>
      <c r="R26" s="10"/>
      <c r="S26" s="20">
        <v>60705</v>
      </c>
      <c r="T26" s="20"/>
      <c r="U26" s="20">
        <v>60705</v>
      </c>
      <c r="V26" s="20">
        <v>6070500</v>
      </c>
      <c r="W26" s="11">
        <v>56811.904761904763</v>
      </c>
      <c r="X26" s="11"/>
      <c r="Y26" s="11">
        <f t="shared" si="5"/>
        <v>56811.904761904763</v>
      </c>
      <c r="Z26" s="11">
        <f>H26*Y26</f>
        <v>5681190.4761904767</v>
      </c>
      <c r="AA26" s="21">
        <v>49778</v>
      </c>
      <c r="AB26" s="21"/>
      <c r="AC26" s="21">
        <v>49778</v>
      </c>
      <c r="AD26" s="21">
        <f t="shared" si="0"/>
        <v>4977800</v>
      </c>
      <c r="AE26" s="11">
        <v>49778</v>
      </c>
      <c r="AF26" s="11"/>
      <c r="AG26" s="11">
        <v>49778</v>
      </c>
      <c r="AH26" s="11">
        <f t="shared" si="1"/>
        <v>4977800</v>
      </c>
      <c r="AI26" s="21"/>
      <c r="AJ26" s="21"/>
      <c r="AK26" s="21"/>
      <c r="AL26" s="21"/>
      <c r="AM26" s="20">
        <f t="shared" si="6"/>
        <v>54268.226190476191</v>
      </c>
      <c r="AN26" s="20">
        <f t="shared" si="7"/>
        <v>53294.952380952382</v>
      </c>
      <c r="AO26" s="20">
        <f t="shared" si="8"/>
        <v>4696.4513260810345</v>
      </c>
      <c r="AP26" s="30">
        <f t="shared" si="2"/>
        <v>48598.501054871347</v>
      </c>
      <c r="AQ26" s="30">
        <f t="shared" si="3"/>
        <v>57991.403707033416</v>
      </c>
      <c r="AR26" s="13"/>
      <c r="AS26" s="13"/>
      <c r="AT26" s="13"/>
      <c r="AU26" s="13"/>
      <c r="AV26" s="14"/>
      <c r="AW26" s="15"/>
      <c r="AX26" s="14">
        <f t="shared" si="13"/>
        <v>4.6793078275452551E-2</v>
      </c>
      <c r="AY26" s="15"/>
      <c r="AZ26" s="15"/>
      <c r="BA26" s="20">
        <f>+AVERAGE(Y26,AC26,AG26)</f>
        <v>52122.634920634919</v>
      </c>
      <c r="BB26" s="20">
        <f>+SMALL((Y26,AC26,AG26),1)</f>
        <v>49778</v>
      </c>
      <c r="BC26" s="20">
        <f t="shared" si="9"/>
        <v>976</v>
      </c>
      <c r="BD26" s="14">
        <f t="shared" si="10"/>
        <v>1.9999180361460596E-2</v>
      </c>
      <c r="BE26" s="20">
        <f>+BB26</f>
        <v>49778</v>
      </c>
      <c r="BF26" s="12"/>
    </row>
    <row r="27" spans="2:58" ht="62.25" customHeight="1">
      <c r="B27" s="17">
        <v>16</v>
      </c>
      <c r="C27" s="18"/>
      <c r="D27" s="49" t="s">
        <v>73</v>
      </c>
      <c r="E27" s="50" t="s">
        <v>73</v>
      </c>
      <c r="F27" s="51" t="s">
        <v>73</v>
      </c>
      <c r="G27" s="18" t="s">
        <v>74</v>
      </c>
      <c r="H27" s="18">
        <v>5</v>
      </c>
      <c r="I27" s="18" t="s">
        <v>0</v>
      </c>
      <c r="J27" s="20">
        <v>78502</v>
      </c>
      <c r="K27" s="20"/>
      <c r="L27" s="20">
        <v>78502</v>
      </c>
      <c r="M27" s="20">
        <v>78502</v>
      </c>
      <c r="N27" s="19" t="s">
        <v>239</v>
      </c>
      <c r="O27" s="10"/>
      <c r="P27" s="10"/>
      <c r="Q27" s="10"/>
      <c r="R27" s="10"/>
      <c r="S27" s="20">
        <v>96628</v>
      </c>
      <c r="T27" s="20"/>
      <c r="U27" s="20">
        <v>96628</v>
      </c>
      <c r="V27" s="20">
        <v>483140</v>
      </c>
      <c r="W27" s="21"/>
      <c r="X27" s="11"/>
      <c r="Y27" s="11"/>
      <c r="Z27" s="11"/>
      <c r="AA27" s="21">
        <v>82538</v>
      </c>
      <c r="AB27" s="21"/>
      <c r="AC27" s="21">
        <v>82538</v>
      </c>
      <c r="AD27" s="21">
        <f t="shared" si="0"/>
        <v>412690</v>
      </c>
      <c r="AE27" s="11">
        <v>83858</v>
      </c>
      <c r="AF27" s="11"/>
      <c r="AG27" s="11">
        <v>83858</v>
      </c>
      <c r="AH27" s="11">
        <f t="shared" si="1"/>
        <v>419290</v>
      </c>
      <c r="AI27" s="21"/>
      <c r="AJ27" s="21"/>
      <c r="AK27" s="21"/>
      <c r="AL27" s="21"/>
      <c r="AM27" s="20">
        <f t="shared" si="6"/>
        <v>87674.666666666672</v>
      </c>
      <c r="AN27" s="20">
        <f t="shared" si="7"/>
        <v>83858</v>
      </c>
      <c r="AO27" s="20">
        <f t="shared" si="8"/>
        <v>6353.8562219245159</v>
      </c>
      <c r="AP27" s="30">
        <f t="shared" si="2"/>
        <v>77504.143778075479</v>
      </c>
      <c r="AQ27" s="30">
        <f t="shared" si="3"/>
        <v>90211.856221924521</v>
      </c>
      <c r="AR27" s="13"/>
      <c r="AS27" s="13"/>
      <c r="AT27" s="13"/>
      <c r="AU27" s="13"/>
      <c r="AV27" s="14"/>
      <c r="AW27" s="15"/>
      <c r="AX27" s="14">
        <f t="shared" si="13"/>
        <v>7.1123065712022662E-2</v>
      </c>
      <c r="AY27" s="15"/>
      <c r="AZ27" s="15"/>
      <c r="BA27" s="20">
        <f>+AVERAGE(AC27,AG27)</f>
        <v>83198</v>
      </c>
      <c r="BB27" s="20">
        <f>+SMALL((AC27,AG27),1)</f>
        <v>82538</v>
      </c>
      <c r="BC27" s="20">
        <f t="shared" si="9"/>
        <v>4036</v>
      </c>
      <c r="BD27" s="14">
        <f t="shared" si="10"/>
        <v>5.1412702861073606E-2</v>
      </c>
      <c r="BE27" s="20">
        <f>+BB27</f>
        <v>82538</v>
      </c>
      <c r="BF27" s="12"/>
    </row>
    <row r="28" spans="2:58" ht="27" customHeight="1">
      <c r="B28" s="17">
        <v>17</v>
      </c>
      <c r="C28" s="18" t="s">
        <v>75</v>
      </c>
      <c r="D28" s="49" t="s">
        <v>76</v>
      </c>
      <c r="E28" s="50" t="s">
        <v>76</v>
      </c>
      <c r="F28" s="51" t="s">
        <v>76</v>
      </c>
      <c r="G28" s="18" t="s">
        <v>77</v>
      </c>
      <c r="H28" s="18">
        <v>12</v>
      </c>
      <c r="I28" s="18" t="s">
        <v>0</v>
      </c>
      <c r="J28" s="20">
        <v>35708</v>
      </c>
      <c r="K28" s="20"/>
      <c r="L28" s="20">
        <v>35708</v>
      </c>
      <c r="M28" s="20">
        <v>35708</v>
      </c>
      <c r="N28" s="19" t="s">
        <v>238</v>
      </c>
      <c r="O28" s="10"/>
      <c r="P28" s="10"/>
      <c r="Q28" s="10"/>
      <c r="R28" s="10"/>
      <c r="S28" s="20">
        <v>40135</v>
      </c>
      <c r="T28" s="20"/>
      <c r="U28" s="20">
        <v>40135</v>
      </c>
      <c r="V28" s="20">
        <v>481620</v>
      </c>
      <c r="W28" s="21"/>
      <c r="X28" s="11"/>
      <c r="Y28" s="11"/>
      <c r="Z28" s="11"/>
      <c r="AA28" s="21">
        <v>35203</v>
      </c>
      <c r="AB28" s="21"/>
      <c r="AC28" s="21">
        <v>35203</v>
      </c>
      <c r="AD28" s="21">
        <f t="shared" si="0"/>
        <v>422436</v>
      </c>
      <c r="AE28" s="11">
        <v>36411</v>
      </c>
      <c r="AF28" s="11"/>
      <c r="AG28" s="11">
        <v>36411</v>
      </c>
      <c r="AH28" s="11">
        <f t="shared" si="1"/>
        <v>436932</v>
      </c>
      <c r="AI28" s="21"/>
      <c r="AJ28" s="21"/>
      <c r="AK28" s="21"/>
      <c r="AL28" s="21"/>
      <c r="AM28" s="20">
        <f t="shared" si="6"/>
        <v>37249.666666666664</v>
      </c>
      <c r="AN28" s="20">
        <f t="shared" si="7"/>
        <v>36411</v>
      </c>
      <c r="AO28" s="20">
        <f t="shared" si="8"/>
        <v>2098.9961621901289</v>
      </c>
      <c r="AP28" s="30">
        <f t="shared" si="2"/>
        <v>34312.003837809869</v>
      </c>
      <c r="AQ28" s="30">
        <f t="shared" si="3"/>
        <v>38509.996162190131</v>
      </c>
      <c r="AR28" s="13"/>
      <c r="AS28" s="13"/>
      <c r="AT28" s="13"/>
      <c r="AU28" s="13"/>
      <c r="AV28" s="14"/>
      <c r="AW28" s="15"/>
      <c r="AX28" s="14">
        <f t="shared" si="13"/>
        <v>4.2196935854419262E-2</v>
      </c>
      <c r="AY28" s="15"/>
      <c r="AZ28" s="15"/>
      <c r="BA28" s="20">
        <f>+AVERAGE(AC28,AG28)</f>
        <v>35807</v>
      </c>
      <c r="BB28" s="20">
        <f>+SMALL((AC28,AG28),1)</f>
        <v>35203</v>
      </c>
      <c r="BC28" s="20">
        <f t="shared" si="9"/>
        <v>-505</v>
      </c>
      <c r="BD28" s="14">
        <f t="shared" si="10"/>
        <v>-1.4142489078077742E-2</v>
      </c>
      <c r="BE28" s="20">
        <f>M28</f>
        <v>35708</v>
      </c>
      <c r="BF28" s="12"/>
    </row>
    <row r="29" spans="2:58" ht="33.950000000000003" customHeight="1">
      <c r="B29" s="17">
        <v>18</v>
      </c>
      <c r="C29" s="18" t="s">
        <v>78</v>
      </c>
      <c r="D29" s="49" t="s">
        <v>79</v>
      </c>
      <c r="E29" s="50" t="s">
        <v>79</v>
      </c>
      <c r="F29" s="51" t="s">
        <v>79</v>
      </c>
      <c r="G29" s="18" t="s">
        <v>80</v>
      </c>
      <c r="H29" s="18">
        <v>24</v>
      </c>
      <c r="I29" s="18" t="s">
        <v>0</v>
      </c>
      <c r="J29" s="20">
        <v>10443</v>
      </c>
      <c r="K29" s="20"/>
      <c r="L29" s="20">
        <v>10443</v>
      </c>
      <c r="M29" s="20">
        <v>10443</v>
      </c>
      <c r="N29" s="19" t="s">
        <v>239</v>
      </c>
      <c r="O29" s="10"/>
      <c r="P29" s="10"/>
      <c r="Q29" s="10"/>
      <c r="R29" s="10"/>
      <c r="S29" s="20">
        <v>11717</v>
      </c>
      <c r="T29" s="20"/>
      <c r="U29" s="20">
        <v>11717</v>
      </c>
      <c r="V29" s="20">
        <v>281208</v>
      </c>
      <c r="W29" s="11">
        <v>56811.904761904763</v>
      </c>
      <c r="X29" s="11"/>
      <c r="Y29" s="11">
        <f t="shared" si="5"/>
        <v>56811.904761904763</v>
      </c>
      <c r="Z29" s="11">
        <f>H29*Y29</f>
        <v>1363485.7142857143</v>
      </c>
      <c r="AA29" s="21">
        <v>9780</v>
      </c>
      <c r="AB29" s="21"/>
      <c r="AC29" s="21">
        <v>9780</v>
      </c>
      <c r="AD29" s="21">
        <f t="shared" si="0"/>
        <v>234720</v>
      </c>
      <c r="AE29" s="11">
        <v>10411</v>
      </c>
      <c r="AF29" s="11"/>
      <c r="AG29" s="11">
        <v>10411</v>
      </c>
      <c r="AH29" s="11">
        <f t="shared" si="1"/>
        <v>249864</v>
      </c>
      <c r="AI29" s="21"/>
      <c r="AJ29" s="21"/>
      <c r="AK29" s="21"/>
      <c r="AL29" s="21"/>
      <c r="AM29" s="20">
        <f t="shared" si="6"/>
        <v>22179.976190476191</v>
      </c>
      <c r="AN29" s="20">
        <f t="shared" si="7"/>
        <v>11064</v>
      </c>
      <c r="AO29" s="20">
        <f t="shared" si="8"/>
        <v>20006.952275617681</v>
      </c>
      <c r="AP29" s="30">
        <f t="shared" si="2"/>
        <v>-8942.9522756176812</v>
      </c>
      <c r="AQ29" s="30">
        <f t="shared" si="3"/>
        <v>31070.952275617681</v>
      </c>
      <c r="AR29" s="13"/>
      <c r="AS29" s="13"/>
      <c r="AT29" s="13"/>
      <c r="AU29" s="13"/>
      <c r="AV29" s="14">
        <f t="shared" ref="AV29" si="14">+(Y29-AQ29)/AQ29</f>
        <v>0.82845714730432607</v>
      </c>
      <c r="AW29" s="15"/>
      <c r="AX29" s="14"/>
      <c r="AY29" s="15"/>
      <c r="AZ29" s="15"/>
      <c r="BA29" s="20">
        <f>AVERAGE(U29,AC29,AG29)</f>
        <v>10636</v>
      </c>
      <c r="BB29" s="20">
        <f>SMALL((U29,AC29,AG29),1)</f>
        <v>9780</v>
      </c>
      <c r="BC29" s="20">
        <f t="shared" si="9"/>
        <v>-663</v>
      </c>
      <c r="BD29" s="14">
        <f t="shared" si="10"/>
        <v>-6.3487503590922145E-2</v>
      </c>
      <c r="BE29" s="20">
        <f>M29</f>
        <v>10443</v>
      </c>
      <c r="BF29" s="12"/>
    </row>
    <row r="30" spans="2:58" ht="29.1" customHeight="1">
      <c r="B30" s="17">
        <v>19</v>
      </c>
      <c r="C30" s="18" t="s">
        <v>81</v>
      </c>
      <c r="D30" s="49" t="s">
        <v>82</v>
      </c>
      <c r="E30" s="50" t="s">
        <v>82</v>
      </c>
      <c r="F30" s="51" t="s">
        <v>82</v>
      </c>
      <c r="G30" s="18" t="s">
        <v>70</v>
      </c>
      <c r="H30" s="18">
        <v>24</v>
      </c>
      <c r="I30" s="18" t="s">
        <v>0</v>
      </c>
      <c r="J30" s="20">
        <v>46101</v>
      </c>
      <c r="K30" s="20"/>
      <c r="L30" s="20">
        <v>46101</v>
      </c>
      <c r="M30" s="20">
        <v>46101</v>
      </c>
      <c r="N30" s="19" t="s">
        <v>238</v>
      </c>
      <c r="O30" s="10"/>
      <c r="P30" s="10"/>
      <c r="Q30" s="10"/>
      <c r="R30" s="10"/>
      <c r="S30" s="20">
        <v>49844</v>
      </c>
      <c r="T30" s="20"/>
      <c r="U30" s="20">
        <v>49844</v>
      </c>
      <c r="V30" s="20">
        <v>1196256</v>
      </c>
      <c r="W30" s="21"/>
      <c r="X30" s="11"/>
      <c r="Y30" s="11"/>
      <c r="Z30" s="11"/>
      <c r="AA30" s="21">
        <v>44914</v>
      </c>
      <c r="AB30" s="21">
        <v>8534</v>
      </c>
      <c r="AC30" s="21">
        <v>53448</v>
      </c>
      <c r="AD30" s="21">
        <f t="shared" si="0"/>
        <v>1282752</v>
      </c>
      <c r="AE30" s="11">
        <v>44411</v>
      </c>
      <c r="AF30" s="11">
        <v>8438</v>
      </c>
      <c r="AG30" s="11">
        <v>52849</v>
      </c>
      <c r="AH30" s="11">
        <f t="shared" si="1"/>
        <v>1268376</v>
      </c>
      <c r="AI30" s="21"/>
      <c r="AJ30" s="21"/>
      <c r="AK30" s="21"/>
      <c r="AL30" s="21"/>
      <c r="AM30" s="20">
        <f t="shared" si="6"/>
        <v>52047</v>
      </c>
      <c r="AN30" s="20">
        <f t="shared" si="7"/>
        <v>52849</v>
      </c>
      <c r="AO30" s="20">
        <f t="shared" si="8"/>
        <v>1576.8337473134784</v>
      </c>
      <c r="AP30" s="30">
        <f t="shared" si="2"/>
        <v>51272.166252686518</v>
      </c>
      <c r="AQ30" s="30">
        <f t="shared" si="3"/>
        <v>54425.833747313482</v>
      </c>
      <c r="AR30" s="13">
        <f>+(AQ30-U30)/U30</f>
        <v>9.1923476191988637E-2</v>
      </c>
      <c r="AS30" s="13"/>
      <c r="AT30" s="13"/>
      <c r="AU30" s="13"/>
      <c r="AV30" s="15"/>
      <c r="AW30" s="15"/>
      <c r="AX30" s="14"/>
      <c r="AY30" s="15"/>
      <c r="AZ30" s="15"/>
      <c r="BA30" s="20">
        <f>+AVERAGE(AC30,AG30)</f>
        <v>53148.5</v>
      </c>
      <c r="BB30" s="20">
        <f>+SMALL((AC30,AG30),1)</f>
        <v>52849</v>
      </c>
      <c r="BC30" s="20">
        <f t="shared" si="9"/>
        <v>6748</v>
      </c>
      <c r="BD30" s="14">
        <f t="shared" si="10"/>
        <v>0.14637426520032104</v>
      </c>
      <c r="BE30" s="20">
        <f>+BB30</f>
        <v>52849</v>
      </c>
      <c r="BF30" s="12"/>
    </row>
    <row r="31" spans="2:58" ht="36" customHeight="1">
      <c r="B31" s="17">
        <v>20</v>
      </c>
      <c r="C31" s="18" t="s">
        <v>83</v>
      </c>
      <c r="D31" s="49" t="s">
        <v>84</v>
      </c>
      <c r="E31" s="50" t="s">
        <v>84</v>
      </c>
      <c r="F31" s="51" t="s">
        <v>84</v>
      </c>
      <c r="G31" s="18" t="s">
        <v>85</v>
      </c>
      <c r="H31" s="18">
        <v>30</v>
      </c>
      <c r="I31" s="18" t="s">
        <v>0</v>
      </c>
      <c r="J31" s="20">
        <v>57848</v>
      </c>
      <c r="K31" s="20"/>
      <c r="L31" s="20">
        <v>57848</v>
      </c>
      <c r="M31" s="20">
        <v>57848</v>
      </c>
      <c r="N31" s="19" t="s">
        <v>240</v>
      </c>
      <c r="O31" s="10"/>
      <c r="P31" s="10"/>
      <c r="Q31" s="10"/>
      <c r="R31" s="10"/>
      <c r="S31" s="20">
        <v>63012</v>
      </c>
      <c r="T31" s="20"/>
      <c r="U31" s="20">
        <v>63012</v>
      </c>
      <c r="V31" s="20">
        <v>1890360</v>
      </c>
      <c r="W31" s="11">
        <v>658.33333333333337</v>
      </c>
      <c r="X31" s="11"/>
      <c r="Y31" s="11">
        <f t="shared" si="5"/>
        <v>658.33333333333337</v>
      </c>
      <c r="Z31" s="11">
        <f>H31*Y31</f>
        <v>19750</v>
      </c>
      <c r="AA31" s="21">
        <v>56780</v>
      </c>
      <c r="AB31" s="21"/>
      <c r="AC31" s="21">
        <v>56780</v>
      </c>
      <c r="AD31" s="21">
        <f t="shared" si="0"/>
        <v>1703400</v>
      </c>
      <c r="AE31" s="11">
        <v>57858</v>
      </c>
      <c r="AF31" s="11"/>
      <c r="AG31" s="11">
        <v>57858</v>
      </c>
      <c r="AH31" s="11">
        <f t="shared" si="1"/>
        <v>1735740</v>
      </c>
      <c r="AI31" s="21"/>
      <c r="AJ31" s="21"/>
      <c r="AK31" s="21"/>
      <c r="AL31" s="21"/>
      <c r="AM31" s="20">
        <f t="shared" si="6"/>
        <v>44577.083333333336</v>
      </c>
      <c r="AN31" s="20">
        <f t="shared" si="7"/>
        <v>57319</v>
      </c>
      <c r="AO31" s="20">
        <f t="shared" si="8"/>
        <v>25465.64684408193</v>
      </c>
      <c r="AP31" s="30">
        <f t="shared" si="2"/>
        <v>31853.35315591807</v>
      </c>
      <c r="AQ31" s="30">
        <f t="shared" si="3"/>
        <v>82784.64684408193</v>
      </c>
      <c r="AR31" s="13"/>
      <c r="AS31" s="13">
        <f>+(AP31-Y31)/Y31</f>
        <v>47.384840236837576</v>
      </c>
      <c r="AT31" s="13"/>
      <c r="AU31" s="13"/>
      <c r="AV31" s="15"/>
      <c r="AW31" s="15"/>
      <c r="AX31" s="14"/>
      <c r="AY31" s="15"/>
      <c r="AZ31" s="15"/>
      <c r="BA31" s="20">
        <f>+AVERAGE(U31,AC31,AG31)</f>
        <v>59216.666666666664</v>
      </c>
      <c r="BB31" s="20">
        <f>+SMALL((U31,AC31,AG31),1)</f>
        <v>56780</v>
      </c>
      <c r="BC31" s="20">
        <f t="shared" si="9"/>
        <v>-1068</v>
      </c>
      <c r="BD31" s="14">
        <f t="shared" si="10"/>
        <v>-1.8462176739040242E-2</v>
      </c>
      <c r="BE31" s="20">
        <f>M31</f>
        <v>57848</v>
      </c>
      <c r="BF31" s="12"/>
    </row>
    <row r="32" spans="2:58" ht="58.5" customHeight="1">
      <c r="B32" s="17">
        <v>21</v>
      </c>
      <c r="C32" s="18" t="s">
        <v>86</v>
      </c>
      <c r="D32" s="49" t="s">
        <v>232</v>
      </c>
      <c r="E32" s="50" t="s">
        <v>87</v>
      </c>
      <c r="F32" s="51" t="s">
        <v>87</v>
      </c>
      <c r="G32" s="18" t="s">
        <v>85</v>
      </c>
      <c r="H32" s="18">
        <v>30</v>
      </c>
      <c r="I32" s="18" t="s">
        <v>0</v>
      </c>
      <c r="J32" s="20">
        <v>40893</v>
      </c>
      <c r="K32" s="20"/>
      <c r="L32" s="20">
        <v>40893</v>
      </c>
      <c r="M32" s="20">
        <v>40893</v>
      </c>
      <c r="N32" s="19" t="s">
        <v>240</v>
      </c>
      <c r="O32" s="10"/>
      <c r="P32" s="10"/>
      <c r="Q32" s="10"/>
      <c r="R32" s="10"/>
      <c r="S32" s="20">
        <v>45880</v>
      </c>
      <c r="T32" s="20"/>
      <c r="U32" s="20">
        <v>45880</v>
      </c>
      <c r="V32" s="20">
        <v>1376400</v>
      </c>
      <c r="W32" s="11">
        <v>92.857142857142861</v>
      </c>
      <c r="X32" s="11"/>
      <c r="Y32" s="11">
        <f t="shared" si="5"/>
        <v>92.857142857142861</v>
      </c>
      <c r="Z32" s="11">
        <f>H32*Y32</f>
        <v>2785.7142857142858</v>
      </c>
      <c r="AA32" s="21">
        <v>40140</v>
      </c>
      <c r="AB32" s="21"/>
      <c r="AC32" s="21">
        <v>40140</v>
      </c>
      <c r="AD32" s="21">
        <f t="shared" si="0"/>
        <v>1204200</v>
      </c>
      <c r="AE32" s="11">
        <v>40411</v>
      </c>
      <c r="AF32" s="11"/>
      <c r="AG32" s="11">
        <v>40411</v>
      </c>
      <c r="AH32" s="11">
        <f t="shared" si="1"/>
        <v>1212330</v>
      </c>
      <c r="AI32" s="21"/>
      <c r="AJ32" s="21"/>
      <c r="AK32" s="21"/>
      <c r="AL32" s="21"/>
      <c r="AM32" s="20">
        <f t="shared" si="6"/>
        <v>31630.964285714286</v>
      </c>
      <c r="AN32" s="20">
        <f t="shared" si="7"/>
        <v>40275.5</v>
      </c>
      <c r="AO32" s="20">
        <f t="shared" si="8"/>
        <v>18351.974940537384</v>
      </c>
      <c r="AP32" s="30">
        <f t="shared" si="2"/>
        <v>21923.525059462616</v>
      </c>
      <c r="AQ32" s="30">
        <f t="shared" si="3"/>
        <v>58627.474940537388</v>
      </c>
      <c r="AR32" s="13"/>
      <c r="AS32" s="13">
        <f>+(AP32-Y32)/Y32</f>
        <v>235.09950064036664</v>
      </c>
      <c r="AT32" s="13"/>
      <c r="AU32" s="13"/>
      <c r="AV32" s="15"/>
      <c r="AW32" s="15"/>
      <c r="AX32" s="14"/>
      <c r="AY32" s="15"/>
      <c r="AZ32" s="15"/>
      <c r="BA32" s="20">
        <f>+AVERAGE(U32,AC32,AG32)</f>
        <v>42143.666666666664</v>
      </c>
      <c r="BB32" s="20">
        <f>+SMALL((U32,AC32,AG32),1)</f>
        <v>40140</v>
      </c>
      <c r="BC32" s="20">
        <f t="shared" si="9"/>
        <v>-753</v>
      </c>
      <c r="BD32" s="14">
        <f t="shared" si="10"/>
        <v>-1.8413909471058615E-2</v>
      </c>
      <c r="BE32" s="20">
        <f>M32</f>
        <v>40893</v>
      </c>
      <c r="BF32" s="12"/>
    </row>
    <row r="33" spans="2:58" ht="72.75" customHeight="1">
      <c r="B33" s="17">
        <v>22</v>
      </c>
      <c r="C33" s="18" t="s">
        <v>88</v>
      </c>
      <c r="D33" s="49" t="s">
        <v>89</v>
      </c>
      <c r="E33" s="50" t="s">
        <v>89</v>
      </c>
      <c r="F33" s="51" t="s">
        <v>89</v>
      </c>
      <c r="G33" s="18" t="s">
        <v>90</v>
      </c>
      <c r="H33" s="18">
        <v>48</v>
      </c>
      <c r="I33" s="18" t="s">
        <v>0</v>
      </c>
      <c r="J33" s="20">
        <v>10586</v>
      </c>
      <c r="K33" s="20"/>
      <c r="L33" s="20">
        <v>10586</v>
      </c>
      <c r="M33" s="20">
        <v>10586</v>
      </c>
      <c r="N33" s="19" t="s">
        <v>236</v>
      </c>
      <c r="O33" s="10"/>
      <c r="P33" s="10"/>
      <c r="Q33" s="10"/>
      <c r="R33" s="10"/>
      <c r="S33" s="20">
        <v>17578</v>
      </c>
      <c r="T33" s="20"/>
      <c r="U33" s="20">
        <v>17578</v>
      </c>
      <c r="V33" s="20">
        <v>843744</v>
      </c>
      <c r="W33" s="21"/>
      <c r="X33" s="11"/>
      <c r="Y33" s="11"/>
      <c r="Z33" s="11"/>
      <c r="AA33" s="21">
        <v>11756</v>
      </c>
      <c r="AB33" s="21"/>
      <c r="AC33" s="21">
        <v>11756</v>
      </c>
      <c r="AD33" s="21">
        <f t="shared" si="0"/>
        <v>564288</v>
      </c>
      <c r="AE33" s="11">
        <v>15520</v>
      </c>
      <c r="AF33" s="11"/>
      <c r="AG33" s="11">
        <v>15520</v>
      </c>
      <c r="AH33" s="11">
        <f t="shared" si="1"/>
        <v>744960</v>
      </c>
      <c r="AI33" s="21"/>
      <c r="AJ33" s="21"/>
      <c r="AK33" s="21"/>
      <c r="AL33" s="21"/>
      <c r="AM33" s="20">
        <f t="shared" si="6"/>
        <v>14951.333333333334</v>
      </c>
      <c r="AN33" s="20">
        <f t="shared" si="7"/>
        <v>15520</v>
      </c>
      <c r="AO33" s="20">
        <f t="shared" si="8"/>
        <v>2410.5956847956804</v>
      </c>
      <c r="AP33" s="30">
        <f t="shared" si="2"/>
        <v>13109.40431520432</v>
      </c>
      <c r="AQ33" s="30">
        <f t="shared" si="3"/>
        <v>17930.59568479568</v>
      </c>
      <c r="AR33" s="13"/>
      <c r="AS33" s="13"/>
      <c r="AT33" s="13">
        <f>+(AP33-AC33)/AC33</f>
        <v>0.115124558966002</v>
      </c>
      <c r="AU33" s="13"/>
      <c r="AV33" s="15"/>
      <c r="AW33" s="15"/>
      <c r="AX33" s="14"/>
      <c r="AY33" s="15"/>
      <c r="AZ33" s="15"/>
      <c r="BA33" s="20">
        <f>+AVERAGE(U33,AG33)</f>
        <v>16549</v>
      </c>
      <c r="BB33" s="20">
        <f>+SMALL((U33,AG33),1)</f>
        <v>15520</v>
      </c>
      <c r="BC33" s="20">
        <f t="shared" si="9"/>
        <v>4934</v>
      </c>
      <c r="BD33" s="14">
        <f t="shared" si="10"/>
        <v>0.46608728509351977</v>
      </c>
      <c r="BE33" s="20">
        <f>+BB33</f>
        <v>15520</v>
      </c>
      <c r="BF33" s="12"/>
    </row>
    <row r="34" spans="2:58" ht="93.95" customHeight="1">
      <c r="B34" s="17">
        <v>23</v>
      </c>
      <c r="C34" s="18" t="s">
        <v>91</v>
      </c>
      <c r="D34" s="49" t="s">
        <v>92</v>
      </c>
      <c r="E34" s="50" t="s">
        <v>92</v>
      </c>
      <c r="F34" s="51" t="s">
        <v>92</v>
      </c>
      <c r="G34" s="18" t="s">
        <v>93</v>
      </c>
      <c r="H34" s="18">
        <v>24</v>
      </c>
      <c r="I34" s="18" t="s">
        <v>0</v>
      </c>
      <c r="J34" s="20">
        <v>36932</v>
      </c>
      <c r="K34" s="20"/>
      <c r="L34" s="20">
        <v>36932</v>
      </c>
      <c r="M34" s="20">
        <v>36932</v>
      </c>
      <c r="N34" s="19" t="s">
        <v>239</v>
      </c>
      <c r="O34" s="10"/>
      <c r="P34" s="10"/>
      <c r="Q34" s="10"/>
      <c r="R34" s="10"/>
      <c r="S34" s="20">
        <v>82829</v>
      </c>
      <c r="T34" s="20"/>
      <c r="U34" s="20">
        <v>82829</v>
      </c>
      <c r="V34" s="20">
        <v>1987896</v>
      </c>
      <c r="W34" s="21"/>
      <c r="X34" s="11"/>
      <c r="Y34" s="11"/>
      <c r="Z34" s="11"/>
      <c r="AA34" s="21">
        <v>33621</v>
      </c>
      <c r="AB34" s="21"/>
      <c r="AC34" s="21">
        <v>33621</v>
      </c>
      <c r="AD34" s="21">
        <f t="shared" si="0"/>
        <v>806904</v>
      </c>
      <c r="AE34" s="11">
        <v>39517</v>
      </c>
      <c r="AF34" s="11"/>
      <c r="AG34" s="11">
        <v>39517</v>
      </c>
      <c r="AH34" s="11">
        <f t="shared" si="1"/>
        <v>948408</v>
      </c>
      <c r="AI34" s="21">
        <v>72529</v>
      </c>
      <c r="AJ34" s="21"/>
      <c r="AK34" s="21">
        <v>72529</v>
      </c>
      <c r="AL34" s="21">
        <v>1740696</v>
      </c>
      <c r="AM34" s="20">
        <f t="shared" si="6"/>
        <v>57124</v>
      </c>
      <c r="AN34" s="20">
        <f t="shared" si="7"/>
        <v>56023</v>
      </c>
      <c r="AO34" s="20">
        <f t="shared" si="8"/>
        <v>20978.909099378834</v>
      </c>
      <c r="AP34" s="30">
        <f t="shared" si="2"/>
        <v>35044.090900621166</v>
      </c>
      <c r="AQ34" s="30">
        <f t="shared" si="3"/>
        <v>77001.909099378827</v>
      </c>
      <c r="AR34" s="13"/>
      <c r="AS34" s="13"/>
      <c r="AT34" s="13">
        <f>+(AP34-AC34)/AC34</f>
        <v>4.2327441201069745E-2</v>
      </c>
      <c r="AU34" s="13"/>
      <c r="AV34" s="15"/>
      <c r="AW34" s="15"/>
      <c r="AX34" s="14">
        <f>+(U34-AQ34)/AQ34</f>
        <v>7.5674628964078242E-2</v>
      </c>
      <c r="AY34" s="15"/>
      <c r="AZ34" s="15"/>
      <c r="BA34" s="20">
        <f>+AVERAGE(AC34,AK34)</f>
        <v>53075</v>
      </c>
      <c r="BB34" s="20">
        <f>+SMALL((AC34,AK34),1)</f>
        <v>33621</v>
      </c>
      <c r="BC34" s="20">
        <f t="shared" si="9"/>
        <v>-3311</v>
      </c>
      <c r="BD34" s="14">
        <f t="shared" si="10"/>
        <v>-8.9651250947687638E-2</v>
      </c>
      <c r="BE34" s="20">
        <f>M34</f>
        <v>36932</v>
      </c>
      <c r="BF34" s="12"/>
    </row>
    <row r="35" spans="2:58" ht="54.75" customHeight="1">
      <c r="B35" s="17">
        <v>24</v>
      </c>
      <c r="C35" s="18" t="s">
        <v>94</v>
      </c>
      <c r="D35" s="49" t="s">
        <v>231</v>
      </c>
      <c r="E35" s="50" t="s">
        <v>95</v>
      </c>
      <c r="F35" s="51" t="s">
        <v>95</v>
      </c>
      <c r="G35" s="18" t="s">
        <v>96</v>
      </c>
      <c r="H35" s="18">
        <v>400</v>
      </c>
      <c r="I35" s="18" t="s">
        <v>0</v>
      </c>
      <c r="J35" s="20">
        <v>1401</v>
      </c>
      <c r="K35" s="20"/>
      <c r="L35" s="20">
        <v>1401</v>
      </c>
      <c r="M35" s="20">
        <v>1401</v>
      </c>
      <c r="N35" s="19" t="s">
        <v>239</v>
      </c>
      <c r="O35" s="10"/>
      <c r="P35" s="10"/>
      <c r="Q35" s="10"/>
      <c r="R35" s="10"/>
      <c r="S35" s="20"/>
      <c r="T35" s="20"/>
      <c r="U35" s="20"/>
      <c r="V35" s="20"/>
      <c r="W35" s="21"/>
      <c r="X35" s="11"/>
      <c r="Y35" s="11"/>
      <c r="Z35" s="11"/>
      <c r="AA35" s="21">
        <v>1401</v>
      </c>
      <c r="AB35" s="21"/>
      <c r="AC35" s="21">
        <v>1401</v>
      </c>
      <c r="AD35" s="21">
        <f t="shared" si="0"/>
        <v>560400</v>
      </c>
      <c r="AE35" s="11">
        <v>2306</v>
      </c>
      <c r="AF35" s="11"/>
      <c r="AG35" s="11">
        <v>2306</v>
      </c>
      <c r="AH35" s="11">
        <f t="shared" si="1"/>
        <v>922400</v>
      </c>
      <c r="AI35" s="21"/>
      <c r="AJ35" s="21" t="s">
        <v>253</v>
      </c>
      <c r="AK35" s="21"/>
      <c r="AL35" s="21"/>
      <c r="AM35" s="20">
        <f t="shared" si="6"/>
        <v>1853.5</v>
      </c>
      <c r="AN35" s="20">
        <f t="shared" si="7"/>
        <v>1853.5</v>
      </c>
      <c r="AO35" s="20">
        <f t="shared" si="8"/>
        <v>452.5</v>
      </c>
      <c r="AP35" s="30">
        <f t="shared" si="2"/>
        <v>1401</v>
      </c>
      <c r="AQ35" s="30">
        <f t="shared" si="3"/>
        <v>2306</v>
      </c>
      <c r="AR35" s="13"/>
      <c r="AS35" s="13"/>
      <c r="AT35" s="13"/>
      <c r="AU35" s="13"/>
      <c r="AV35" s="15"/>
      <c r="AW35" s="15"/>
      <c r="AX35" s="14"/>
      <c r="AY35" s="15"/>
      <c r="AZ35" s="15"/>
      <c r="BA35" s="20">
        <f>AM35</f>
        <v>1853.5</v>
      </c>
      <c r="BB35" s="20">
        <f>SMALL((AC35,AG35),1)</f>
        <v>1401</v>
      </c>
      <c r="BC35" s="20">
        <f t="shared" si="9"/>
        <v>0</v>
      </c>
      <c r="BD35" s="14">
        <f t="shared" si="10"/>
        <v>0</v>
      </c>
      <c r="BE35" s="20">
        <f>+BB35</f>
        <v>1401</v>
      </c>
      <c r="BF35" s="12"/>
    </row>
    <row r="36" spans="2:58" ht="45.95" customHeight="1">
      <c r="B36" s="17">
        <v>25</v>
      </c>
      <c r="C36" s="18" t="s">
        <v>97</v>
      </c>
      <c r="D36" s="49" t="s">
        <v>98</v>
      </c>
      <c r="E36" s="50" t="s">
        <v>98</v>
      </c>
      <c r="F36" s="51" t="s">
        <v>98</v>
      </c>
      <c r="G36" s="18" t="s">
        <v>99</v>
      </c>
      <c r="H36" s="18">
        <v>24</v>
      </c>
      <c r="I36" s="18" t="s">
        <v>0</v>
      </c>
      <c r="J36" s="20">
        <v>38587</v>
      </c>
      <c r="K36" s="20"/>
      <c r="L36" s="20">
        <v>38587</v>
      </c>
      <c r="M36" s="20">
        <v>38587</v>
      </c>
      <c r="N36" s="19" t="s">
        <v>239</v>
      </c>
      <c r="O36" s="10"/>
      <c r="P36" s="10"/>
      <c r="Q36" s="10"/>
      <c r="R36" s="10"/>
      <c r="S36" s="20">
        <v>43293</v>
      </c>
      <c r="T36" s="20"/>
      <c r="U36" s="20">
        <v>43293</v>
      </c>
      <c r="V36" s="20">
        <v>1039032</v>
      </c>
      <c r="W36" s="21"/>
      <c r="X36" s="11"/>
      <c r="Y36" s="11"/>
      <c r="Z36" s="11"/>
      <c r="AA36" s="21">
        <v>39011</v>
      </c>
      <c r="AB36" s="21"/>
      <c r="AC36" s="21">
        <v>39011</v>
      </c>
      <c r="AD36" s="21">
        <f t="shared" si="0"/>
        <v>936264</v>
      </c>
      <c r="AE36" s="11">
        <v>38691</v>
      </c>
      <c r="AF36" s="11"/>
      <c r="AG36" s="11">
        <v>38691</v>
      </c>
      <c r="AH36" s="11">
        <f t="shared" si="1"/>
        <v>928584</v>
      </c>
      <c r="AI36" s="21"/>
      <c r="AJ36" s="21"/>
      <c r="AK36" s="21"/>
      <c r="AL36" s="21"/>
      <c r="AM36" s="20">
        <f t="shared" si="6"/>
        <v>40331.666666666664</v>
      </c>
      <c r="AN36" s="20">
        <f t="shared" si="7"/>
        <v>39011</v>
      </c>
      <c r="AO36" s="20">
        <f t="shared" si="8"/>
        <v>2098.0501000267418</v>
      </c>
      <c r="AP36" s="30">
        <f t="shared" si="2"/>
        <v>36912.94989997326</v>
      </c>
      <c r="AQ36" s="30">
        <f t="shared" si="3"/>
        <v>41109.05010002674</v>
      </c>
      <c r="AR36" s="13"/>
      <c r="AS36" s="13"/>
      <c r="AT36" s="13"/>
      <c r="AU36" s="13"/>
      <c r="AV36" s="15"/>
      <c r="AW36" s="15"/>
      <c r="AX36" s="14">
        <f>+(U36-AQ36)/AQ36</f>
        <v>5.3125769013374499E-2</v>
      </c>
      <c r="AY36" s="15"/>
      <c r="AZ36" s="15"/>
      <c r="BA36" s="20">
        <f>+AVERAGE(AC36,AK36)</f>
        <v>39011</v>
      </c>
      <c r="BB36" s="20">
        <f>+SMALL((AC36,AK36),1)</f>
        <v>39011</v>
      </c>
      <c r="BC36" s="20">
        <f t="shared" si="9"/>
        <v>424</v>
      </c>
      <c r="BD36" s="14">
        <f t="shared" si="10"/>
        <v>1.0988156633062948E-2</v>
      </c>
      <c r="BE36" s="20">
        <f>+BB36</f>
        <v>39011</v>
      </c>
      <c r="BF36" s="12"/>
    </row>
    <row r="37" spans="2:58" s="23" customFormat="1" ht="49.5" customHeight="1">
      <c r="B37" s="17">
        <v>26</v>
      </c>
      <c r="C37" s="18" t="s">
        <v>100</v>
      </c>
      <c r="D37" s="49" t="s">
        <v>101</v>
      </c>
      <c r="E37" s="50" t="s">
        <v>101</v>
      </c>
      <c r="F37" s="51" t="s">
        <v>101</v>
      </c>
      <c r="G37" s="18" t="s">
        <v>102</v>
      </c>
      <c r="H37" s="18">
        <v>12</v>
      </c>
      <c r="I37" s="18" t="s">
        <v>0</v>
      </c>
      <c r="J37" s="20">
        <v>37500</v>
      </c>
      <c r="K37" s="20"/>
      <c r="L37" s="20">
        <v>37500</v>
      </c>
      <c r="M37" s="20">
        <v>37500</v>
      </c>
      <c r="N37" s="19" t="s">
        <v>237</v>
      </c>
      <c r="O37" s="10"/>
      <c r="P37" s="10"/>
      <c r="Q37" s="10"/>
      <c r="R37" s="10"/>
      <c r="S37" s="20"/>
      <c r="T37" s="20"/>
      <c r="U37" s="20"/>
      <c r="V37" s="20"/>
      <c r="W37" s="21"/>
      <c r="X37" s="11"/>
      <c r="Y37" s="11"/>
      <c r="Z37" s="11"/>
      <c r="AA37" s="21">
        <v>69231</v>
      </c>
      <c r="AB37" s="21"/>
      <c r="AC37" s="21">
        <v>69231</v>
      </c>
      <c r="AD37" s="21">
        <f t="shared" si="0"/>
        <v>830772</v>
      </c>
      <c r="AE37" s="11">
        <v>76520</v>
      </c>
      <c r="AF37" s="11"/>
      <c r="AG37" s="11">
        <v>76520</v>
      </c>
      <c r="AH37" s="11">
        <f t="shared" si="1"/>
        <v>918240</v>
      </c>
      <c r="AI37" s="21"/>
      <c r="AJ37" s="21"/>
      <c r="AK37" s="21"/>
      <c r="AL37" s="21"/>
      <c r="AM37" s="20">
        <f t="shared" si="6"/>
        <v>72875.5</v>
      </c>
      <c r="AN37" s="20">
        <f t="shared" si="7"/>
        <v>72875.5</v>
      </c>
      <c r="AO37" s="20">
        <f t="shared" si="8"/>
        <v>3644.5</v>
      </c>
      <c r="AP37" s="30">
        <f t="shared" si="2"/>
        <v>69231</v>
      </c>
      <c r="AQ37" s="30">
        <f t="shared" si="3"/>
        <v>76520</v>
      </c>
      <c r="AR37" s="13"/>
      <c r="AS37" s="13"/>
      <c r="AT37" s="13"/>
      <c r="AU37" s="13"/>
      <c r="AV37" s="15"/>
      <c r="AW37" s="15"/>
      <c r="AX37" s="14"/>
      <c r="AY37" s="15"/>
      <c r="AZ37" s="15"/>
      <c r="BA37" s="20">
        <f>AM37</f>
        <v>72875.5</v>
      </c>
      <c r="BB37" s="20">
        <f>SMALL((AC37,AG37),1)</f>
        <v>69231</v>
      </c>
      <c r="BC37" s="20">
        <f t="shared" si="9"/>
        <v>31731</v>
      </c>
      <c r="BD37" s="14">
        <f t="shared" si="10"/>
        <v>0.84616000000000002</v>
      </c>
      <c r="BE37" s="20">
        <f>+BB37</f>
        <v>69231</v>
      </c>
      <c r="BF37" s="22"/>
    </row>
    <row r="38" spans="2:58" ht="45" customHeight="1">
      <c r="B38" s="17">
        <v>27</v>
      </c>
      <c r="C38" s="18" t="s">
        <v>103</v>
      </c>
      <c r="D38" s="49" t="s">
        <v>104</v>
      </c>
      <c r="E38" s="50" t="s">
        <v>104</v>
      </c>
      <c r="F38" s="51" t="s">
        <v>104</v>
      </c>
      <c r="G38" s="18" t="s">
        <v>53</v>
      </c>
      <c r="H38" s="18">
        <v>24</v>
      </c>
      <c r="I38" s="18" t="s">
        <v>0</v>
      </c>
      <c r="J38" s="20"/>
      <c r="K38" s="20"/>
      <c r="L38" s="20"/>
      <c r="M38" s="20"/>
      <c r="N38" s="19"/>
      <c r="O38" s="10"/>
      <c r="P38" s="10"/>
      <c r="Q38" s="10"/>
      <c r="R38" s="10"/>
      <c r="S38" s="20">
        <v>7867</v>
      </c>
      <c r="T38" s="20"/>
      <c r="U38" s="20">
        <v>7867</v>
      </c>
      <c r="V38" s="20">
        <v>188808</v>
      </c>
      <c r="W38" s="11">
        <v>7634.5238095238101</v>
      </c>
      <c r="X38" s="11"/>
      <c r="Y38" s="11">
        <f t="shared" si="5"/>
        <v>7634.5238095238101</v>
      </c>
      <c r="Z38" s="11">
        <f>H38*Y38</f>
        <v>183228.57142857145</v>
      </c>
      <c r="AA38" s="21">
        <v>6451</v>
      </c>
      <c r="AB38" s="21"/>
      <c r="AC38" s="21">
        <v>6451</v>
      </c>
      <c r="AD38" s="21">
        <f t="shared" si="0"/>
        <v>154824</v>
      </c>
      <c r="AE38" s="11">
        <v>6628</v>
      </c>
      <c r="AF38" s="11"/>
      <c r="AG38" s="11">
        <v>6628</v>
      </c>
      <c r="AH38" s="11">
        <f t="shared" si="1"/>
        <v>159072</v>
      </c>
      <c r="AI38" s="21"/>
      <c r="AJ38" s="21"/>
      <c r="AK38" s="21"/>
      <c r="AL38" s="21"/>
      <c r="AM38" s="20">
        <f t="shared" si="6"/>
        <v>7145.1309523809523</v>
      </c>
      <c r="AN38" s="20">
        <f t="shared" si="7"/>
        <v>7131.2619047619046</v>
      </c>
      <c r="AO38" s="20">
        <f t="shared" si="8"/>
        <v>614.37824088597881</v>
      </c>
      <c r="AP38" s="30">
        <f t="shared" si="2"/>
        <v>6516.8836638759258</v>
      </c>
      <c r="AQ38" s="30">
        <f t="shared" si="3"/>
        <v>7745.6401456478834</v>
      </c>
      <c r="AR38" s="13"/>
      <c r="AS38" s="13"/>
      <c r="AT38" s="13">
        <f>+(AP38-AC38)/AC38</f>
        <v>1.0212938129890835E-2</v>
      </c>
      <c r="AU38" s="13"/>
      <c r="AV38" s="15"/>
      <c r="AW38" s="15"/>
      <c r="AX38" s="14">
        <f>+(U38-AQ38)/AQ38</f>
        <v>1.5668150349110423E-2</v>
      </c>
      <c r="AY38" s="15"/>
      <c r="AZ38" s="15"/>
      <c r="BA38" s="20">
        <f>+AVERAGE(Y38,AG38)</f>
        <v>7131.2619047619046</v>
      </c>
      <c r="BB38" s="20">
        <f>+SMALL((Y38,AG38),1)</f>
        <v>6628</v>
      </c>
      <c r="BC38" s="20"/>
      <c r="BD38" s="14"/>
      <c r="BE38" s="20">
        <f>BA38</f>
        <v>7131.2619047619046</v>
      </c>
      <c r="BF38" s="12"/>
    </row>
    <row r="39" spans="2:58" ht="44.25" customHeight="1">
      <c r="B39" s="17">
        <v>28</v>
      </c>
      <c r="C39" s="18" t="s">
        <v>105</v>
      </c>
      <c r="D39" s="49" t="s">
        <v>106</v>
      </c>
      <c r="E39" s="50" t="s">
        <v>106</v>
      </c>
      <c r="F39" s="51" t="s">
        <v>106</v>
      </c>
      <c r="G39" s="18" t="s">
        <v>107</v>
      </c>
      <c r="H39" s="18">
        <v>80</v>
      </c>
      <c r="I39" s="18" t="s">
        <v>0</v>
      </c>
      <c r="J39" s="20">
        <v>7473</v>
      </c>
      <c r="K39" s="20"/>
      <c r="L39" s="20">
        <v>7473</v>
      </c>
      <c r="M39" s="20">
        <v>7473</v>
      </c>
      <c r="N39" s="19" t="s">
        <v>240</v>
      </c>
      <c r="O39" s="10"/>
      <c r="P39" s="10"/>
      <c r="Q39" s="10"/>
      <c r="R39" s="10"/>
      <c r="S39" s="20">
        <v>8780</v>
      </c>
      <c r="T39" s="20"/>
      <c r="U39" s="20">
        <v>8780</v>
      </c>
      <c r="V39" s="20">
        <v>702400</v>
      </c>
      <c r="W39" s="21"/>
      <c r="X39" s="11"/>
      <c r="Y39" s="11"/>
      <c r="Z39" s="11"/>
      <c r="AA39" s="21">
        <v>7473</v>
      </c>
      <c r="AB39" s="21"/>
      <c r="AC39" s="21">
        <v>7473</v>
      </c>
      <c r="AD39" s="21">
        <f t="shared" si="0"/>
        <v>597840</v>
      </c>
      <c r="AE39" s="11">
        <v>7858</v>
      </c>
      <c r="AF39" s="11"/>
      <c r="AG39" s="11">
        <v>7858</v>
      </c>
      <c r="AH39" s="11">
        <f t="shared" si="1"/>
        <v>628640</v>
      </c>
      <c r="AI39" s="21"/>
      <c r="AJ39" s="21"/>
      <c r="AK39" s="21"/>
      <c r="AL39" s="21"/>
      <c r="AM39" s="20">
        <f t="shared" si="6"/>
        <v>8037</v>
      </c>
      <c r="AN39" s="20">
        <f t="shared" si="7"/>
        <v>7858</v>
      </c>
      <c r="AO39" s="20">
        <f t="shared" si="8"/>
        <v>548.38733270077148</v>
      </c>
      <c r="AP39" s="30">
        <f t="shared" si="2"/>
        <v>7309.6126672992286</v>
      </c>
      <c r="AQ39" s="30">
        <f t="shared" si="3"/>
        <v>8406.3873327007714</v>
      </c>
      <c r="AR39" s="13"/>
      <c r="AS39" s="13"/>
      <c r="AT39" s="13"/>
      <c r="AU39" s="13"/>
      <c r="AV39" s="15"/>
      <c r="AW39" s="15"/>
      <c r="AX39" s="14">
        <f>+(U39-AQ39)/AQ39</f>
        <v>4.4443903488229561E-2</v>
      </c>
      <c r="AY39" s="15"/>
      <c r="AZ39" s="15"/>
      <c r="BA39" s="20">
        <f>AM39</f>
        <v>8037</v>
      </c>
      <c r="BB39" s="20">
        <f>SMALL((U39,AC39,AG39),1)</f>
        <v>7473</v>
      </c>
      <c r="BC39" s="20">
        <f t="shared" si="9"/>
        <v>0</v>
      </c>
      <c r="BD39" s="14">
        <f t="shared" si="10"/>
        <v>0</v>
      </c>
      <c r="BE39" s="20">
        <f>+BB39</f>
        <v>7473</v>
      </c>
      <c r="BF39" s="12"/>
    </row>
    <row r="40" spans="2:58" ht="80.25" customHeight="1">
      <c r="B40" s="17">
        <v>29</v>
      </c>
      <c r="C40" s="18" t="s">
        <v>108</v>
      </c>
      <c r="D40" s="49" t="s">
        <v>109</v>
      </c>
      <c r="E40" s="50" t="s">
        <v>109</v>
      </c>
      <c r="F40" s="51" t="s">
        <v>109</v>
      </c>
      <c r="G40" s="18" t="s">
        <v>93</v>
      </c>
      <c r="H40" s="18">
        <v>24</v>
      </c>
      <c r="I40" s="18" t="s">
        <v>0</v>
      </c>
      <c r="J40" s="20"/>
      <c r="K40" s="20"/>
      <c r="L40" s="20"/>
      <c r="M40" s="20"/>
      <c r="N40" s="19"/>
      <c r="O40" s="10"/>
      <c r="P40" s="10"/>
      <c r="Q40" s="10"/>
      <c r="R40" s="10"/>
      <c r="S40" s="20">
        <v>20488</v>
      </c>
      <c r="T40" s="20">
        <v>3893</v>
      </c>
      <c r="U40" s="20">
        <v>24381</v>
      </c>
      <c r="V40" s="20">
        <v>585144</v>
      </c>
      <c r="W40" s="21"/>
      <c r="X40" s="11"/>
      <c r="Y40" s="11"/>
      <c r="Z40" s="11"/>
      <c r="AA40" s="21">
        <v>19744</v>
      </c>
      <c r="AB40" s="21">
        <f>+AA40*19%</f>
        <v>3751.36</v>
      </c>
      <c r="AC40" s="21">
        <v>23495</v>
      </c>
      <c r="AD40" s="21">
        <f t="shared" si="0"/>
        <v>563880</v>
      </c>
      <c r="AE40" s="11"/>
      <c r="AF40" s="11"/>
      <c r="AG40" s="11"/>
      <c r="AH40" s="11"/>
      <c r="AI40" s="21"/>
      <c r="AJ40" s="21"/>
      <c r="AK40" s="21"/>
      <c r="AL40" s="21"/>
      <c r="AM40" s="20">
        <f t="shared" si="6"/>
        <v>23938</v>
      </c>
      <c r="AN40" s="20">
        <f t="shared" si="7"/>
        <v>23938</v>
      </c>
      <c r="AO40" s="20">
        <f t="shared" si="8"/>
        <v>443</v>
      </c>
      <c r="AP40" s="30">
        <f t="shared" si="2"/>
        <v>23495</v>
      </c>
      <c r="AQ40" s="30">
        <f t="shared" si="3"/>
        <v>24381</v>
      </c>
      <c r="AR40" s="13"/>
      <c r="AS40" s="13"/>
      <c r="AT40" s="13"/>
      <c r="AU40" s="13"/>
      <c r="AV40" s="15"/>
      <c r="AW40" s="15"/>
      <c r="AX40" s="14"/>
      <c r="AY40" s="15"/>
      <c r="AZ40" s="15"/>
      <c r="BA40" s="20">
        <f>AM40</f>
        <v>23938</v>
      </c>
      <c r="BB40" s="20">
        <f>SMALL((U40,AC40),1)</f>
        <v>23495</v>
      </c>
      <c r="BC40" s="20"/>
      <c r="BD40" s="14"/>
      <c r="BE40" s="20">
        <f>BA40</f>
        <v>23938</v>
      </c>
      <c r="BF40" s="12"/>
    </row>
    <row r="41" spans="2:58" ht="76.5" customHeight="1">
      <c r="B41" s="17">
        <v>30</v>
      </c>
      <c r="C41" s="18" t="s">
        <v>110</v>
      </c>
      <c r="D41" s="49" t="s">
        <v>111</v>
      </c>
      <c r="E41" s="50" t="s">
        <v>111</v>
      </c>
      <c r="F41" s="51" t="s">
        <v>111</v>
      </c>
      <c r="G41" s="18" t="s">
        <v>112</v>
      </c>
      <c r="H41" s="18">
        <v>24</v>
      </c>
      <c r="I41" s="18" t="s">
        <v>0</v>
      </c>
      <c r="J41" s="20">
        <v>13524</v>
      </c>
      <c r="K41" s="20"/>
      <c r="L41" s="20">
        <v>13524</v>
      </c>
      <c r="M41" s="20">
        <v>13524</v>
      </c>
      <c r="N41" s="19" t="s">
        <v>240</v>
      </c>
      <c r="O41" s="10"/>
      <c r="P41" s="10"/>
      <c r="Q41" s="10"/>
      <c r="R41" s="10"/>
      <c r="S41" s="20">
        <v>18472</v>
      </c>
      <c r="T41" s="20"/>
      <c r="U41" s="20">
        <v>18472</v>
      </c>
      <c r="V41" s="20">
        <v>443328</v>
      </c>
      <c r="W41" s="21"/>
      <c r="X41" s="11"/>
      <c r="Y41" s="11"/>
      <c r="Z41" s="11"/>
      <c r="AA41" s="21">
        <v>15147</v>
      </c>
      <c r="AB41" s="21"/>
      <c r="AC41" s="21">
        <v>15147</v>
      </c>
      <c r="AD41" s="21">
        <f t="shared" si="0"/>
        <v>363528</v>
      </c>
      <c r="AE41" s="11">
        <v>15147</v>
      </c>
      <c r="AF41" s="11"/>
      <c r="AG41" s="11">
        <v>15147</v>
      </c>
      <c r="AH41" s="11">
        <f>H41*AG41</f>
        <v>363528</v>
      </c>
      <c r="AI41" s="21"/>
      <c r="AJ41" s="21"/>
      <c r="AK41" s="21"/>
      <c r="AL41" s="21"/>
      <c r="AM41" s="20">
        <f t="shared" si="6"/>
        <v>16255.333333333334</v>
      </c>
      <c r="AN41" s="20">
        <f t="shared" si="7"/>
        <v>15147</v>
      </c>
      <c r="AO41" s="20">
        <f t="shared" si="8"/>
        <v>1567.4200316301803</v>
      </c>
      <c r="AP41" s="30">
        <f t="shared" si="2"/>
        <v>13579.579968369821</v>
      </c>
      <c r="AQ41" s="30">
        <f t="shared" si="3"/>
        <v>16714.420031630179</v>
      </c>
      <c r="AR41" s="13"/>
      <c r="AS41" s="13"/>
      <c r="AT41" s="13"/>
      <c r="AU41" s="13"/>
      <c r="AV41" s="15"/>
      <c r="AW41" s="15"/>
      <c r="AX41" s="14">
        <f>+(U41-AQ41)/AQ41</f>
        <v>0.10515351205987382</v>
      </c>
      <c r="AY41" s="15"/>
      <c r="AZ41" s="15"/>
      <c r="BA41" s="20">
        <f>+AVERAGE(AC41,AG41)</f>
        <v>15147</v>
      </c>
      <c r="BB41" s="20">
        <f>+SMALL((AC41,AG41),1)</f>
        <v>15147</v>
      </c>
      <c r="BC41" s="20">
        <f t="shared" si="9"/>
        <v>1623</v>
      </c>
      <c r="BD41" s="14">
        <f t="shared" si="10"/>
        <v>0.12000887311446318</v>
      </c>
      <c r="BE41" s="20">
        <f>+BB41</f>
        <v>15147</v>
      </c>
      <c r="BF41" s="12"/>
    </row>
    <row r="42" spans="2:58" ht="51.75" customHeight="1">
      <c r="B42" s="17">
        <v>31</v>
      </c>
      <c r="C42" s="18" t="s">
        <v>113</v>
      </c>
      <c r="D42" s="49" t="s">
        <v>114</v>
      </c>
      <c r="E42" s="50" t="s">
        <v>114</v>
      </c>
      <c r="F42" s="51" t="s">
        <v>114</v>
      </c>
      <c r="G42" s="18" t="s">
        <v>115</v>
      </c>
      <c r="H42" s="18">
        <v>30</v>
      </c>
      <c r="I42" s="18" t="s">
        <v>0</v>
      </c>
      <c r="J42" s="20">
        <v>7158</v>
      </c>
      <c r="K42" s="20"/>
      <c r="L42" s="20">
        <v>7158</v>
      </c>
      <c r="M42" s="20">
        <v>7158</v>
      </c>
      <c r="N42" s="19" t="s">
        <v>236</v>
      </c>
      <c r="O42" s="10"/>
      <c r="P42" s="10"/>
      <c r="Q42" s="10"/>
      <c r="R42" s="10"/>
      <c r="S42" s="20">
        <v>8904</v>
      </c>
      <c r="T42" s="20"/>
      <c r="U42" s="20">
        <v>8904</v>
      </c>
      <c r="V42" s="20">
        <v>267120</v>
      </c>
      <c r="W42" s="11">
        <v>11000</v>
      </c>
      <c r="X42" s="11"/>
      <c r="Y42" s="11">
        <f t="shared" si="5"/>
        <v>11000</v>
      </c>
      <c r="Z42" s="11">
        <f>H42*Y42</f>
        <v>330000</v>
      </c>
      <c r="AA42" s="21">
        <v>7301</v>
      </c>
      <c r="AB42" s="21"/>
      <c r="AC42" s="21">
        <v>7301</v>
      </c>
      <c r="AD42" s="21">
        <f t="shared" si="0"/>
        <v>219030</v>
      </c>
      <c r="AE42" s="11">
        <v>7301</v>
      </c>
      <c r="AF42" s="11"/>
      <c r="AG42" s="11">
        <v>7301</v>
      </c>
      <c r="AH42" s="11">
        <f>H42*AG42</f>
        <v>219030</v>
      </c>
      <c r="AI42" s="21"/>
      <c r="AJ42" s="21"/>
      <c r="AK42" s="21"/>
      <c r="AL42" s="21"/>
      <c r="AM42" s="20">
        <f t="shared" si="6"/>
        <v>8626.5</v>
      </c>
      <c r="AN42" s="20">
        <f t="shared" si="7"/>
        <v>8102.5</v>
      </c>
      <c r="AO42" s="20">
        <f t="shared" si="8"/>
        <v>1518.5856083869621</v>
      </c>
      <c r="AP42" s="30">
        <f t="shared" si="2"/>
        <v>6583.9143916130379</v>
      </c>
      <c r="AQ42" s="30">
        <f t="shared" si="3"/>
        <v>9621.0856083869621</v>
      </c>
      <c r="AR42" s="13"/>
      <c r="AS42" s="13"/>
      <c r="AT42" s="13"/>
      <c r="AU42" s="13"/>
      <c r="AV42" s="14">
        <f>+(Y42-AQ42)/AQ42</f>
        <v>0.14332212057348295</v>
      </c>
      <c r="AW42" s="14"/>
      <c r="AX42" s="14"/>
      <c r="AY42" s="15"/>
      <c r="AZ42" s="15"/>
      <c r="BA42" s="20">
        <f>+AVERAGE(U42,AC42,AG42)</f>
        <v>7835.333333333333</v>
      </c>
      <c r="BB42" s="20">
        <f>+SMALL((U42,AC42,AG42),1)</f>
        <v>7301</v>
      </c>
      <c r="BC42" s="20">
        <f t="shared" si="9"/>
        <v>143</v>
      </c>
      <c r="BD42" s="14">
        <f t="shared" si="10"/>
        <v>1.9977647387538419E-2</v>
      </c>
      <c r="BE42" s="20">
        <f>+BB42</f>
        <v>7301</v>
      </c>
      <c r="BF42" s="12"/>
    </row>
    <row r="43" spans="2:58" ht="69.75" customHeight="1">
      <c r="B43" s="17">
        <v>32</v>
      </c>
      <c r="C43" s="18" t="s">
        <v>116</v>
      </c>
      <c r="D43" s="49" t="s">
        <v>117</v>
      </c>
      <c r="E43" s="50" t="s">
        <v>117</v>
      </c>
      <c r="F43" s="51" t="s">
        <v>117</v>
      </c>
      <c r="G43" s="18" t="s">
        <v>93</v>
      </c>
      <c r="H43" s="18">
        <v>24</v>
      </c>
      <c r="I43" s="18" t="s">
        <v>0</v>
      </c>
      <c r="J43" s="20"/>
      <c r="K43" s="20"/>
      <c r="L43" s="20"/>
      <c r="M43" s="20"/>
      <c r="N43" s="19"/>
      <c r="O43" s="10"/>
      <c r="P43" s="10"/>
      <c r="Q43" s="10"/>
      <c r="R43" s="10"/>
      <c r="S43" s="20">
        <v>41024</v>
      </c>
      <c r="T43" s="20">
        <v>7795</v>
      </c>
      <c r="U43" s="20">
        <v>48819</v>
      </c>
      <c r="V43" s="20">
        <v>1171656</v>
      </c>
      <c r="W43" s="21"/>
      <c r="X43" s="11"/>
      <c r="Y43" s="11"/>
      <c r="Z43" s="11"/>
      <c r="AA43" s="21">
        <v>23420</v>
      </c>
      <c r="AB43" s="21">
        <f>+AA43*19%</f>
        <v>4449.8</v>
      </c>
      <c r="AC43" s="21">
        <v>27870</v>
      </c>
      <c r="AD43" s="21">
        <f t="shared" si="0"/>
        <v>668880</v>
      </c>
      <c r="AE43" s="11"/>
      <c r="AF43" s="11"/>
      <c r="AG43" s="11"/>
      <c r="AH43" s="11"/>
      <c r="AI43" s="21"/>
      <c r="AJ43" s="21"/>
      <c r="AK43" s="21"/>
      <c r="AL43" s="21"/>
      <c r="AM43" s="20">
        <f>+AVERAGE(Q43,U43,Y43,AC43,AG43,AK43)</f>
        <v>38344.5</v>
      </c>
      <c r="AN43" s="20">
        <f t="shared" si="7"/>
        <v>38344.5</v>
      </c>
      <c r="AO43" s="20">
        <f t="shared" si="8"/>
        <v>10474.5</v>
      </c>
      <c r="AP43" s="30">
        <f t="shared" si="2"/>
        <v>27870</v>
      </c>
      <c r="AQ43" s="30">
        <f t="shared" si="3"/>
        <v>48819</v>
      </c>
      <c r="AR43" s="13"/>
      <c r="AS43" s="13"/>
      <c r="AT43" s="13"/>
      <c r="AU43" s="13"/>
      <c r="AV43" s="15"/>
      <c r="AW43" s="15"/>
      <c r="AX43" s="14"/>
      <c r="AY43" s="15"/>
      <c r="AZ43" s="15"/>
      <c r="BA43" s="20">
        <f>AM43</f>
        <v>38344.5</v>
      </c>
      <c r="BB43" s="20">
        <f>SMALL((U43,AC43),1)</f>
        <v>27870</v>
      </c>
      <c r="BC43" s="20"/>
      <c r="BD43" s="14"/>
      <c r="BE43" s="20">
        <f>BA43</f>
        <v>38344.5</v>
      </c>
      <c r="BF43" s="12"/>
    </row>
    <row r="44" spans="2:58" ht="93.75" customHeight="1">
      <c r="B44" s="17">
        <v>33</v>
      </c>
      <c r="C44" s="18" t="s">
        <v>118</v>
      </c>
      <c r="D44" s="49" t="s">
        <v>119</v>
      </c>
      <c r="E44" s="50" t="s">
        <v>119</v>
      </c>
      <c r="F44" s="51" t="s">
        <v>119</v>
      </c>
      <c r="G44" s="18" t="s">
        <v>120</v>
      </c>
      <c r="H44" s="18">
        <v>24</v>
      </c>
      <c r="I44" s="18" t="s">
        <v>0</v>
      </c>
      <c r="J44" s="20">
        <v>46854</v>
      </c>
      <c r="K44" s="20"/>
      <c r="L44" s="20">
        <v>46854</v>
      </c>
      <c r="M44" s="20">
        <v>46854</v>
      </c>
      <c r="N44" s="19" t="s">
        <v>239</v>
      </c>
      <c r="O44" s="10"/>
      <c r="P44" s="10"/>
      <c r="Q44" s="10"/>
      <c r="R44" s="10"/>
      <c r="S44" s="20">
        <v>52568</v>
      </c>
      <c r="T44" s="20"/>
      <c r="U44" s="20">
        <v>52568</v>
      </c>
      <c r="V44" s="20">
        <v>1261632</v>
      </c>
      <c r="W44" s="21"/>
      <c r="X44" s="11"/>
      <c r="Y44" s="11"/>
      <c r="Z44" s="11"/>
      <c r="AA44" s="21">
        <v>46859</v>
      </c>
      <c r="AB44" s="21"/>
      <c r="AC44" s="21">
        <v>46859</v>
      </c>
      <c r="AD44" s="21">
        <f t="shared" ref="AD44:AD75" si="15">H44*AC44</f>
        <v>1124616</v>
      </c>
      <c r="AE44" s="11">
        <v>46520</v>
      </c>
      <c r="AF44" s="11"/>
      <c r="AG44" s="11">
        <v>46520</v>
      </c>
      <c r="AH44" s="11">
        <f>H44*AG44</f>
        <v>1116480</v>
      </c>
      <c r="AI44" s="21"/>
      <c r="AJ44" s="21"/>
      <c r="AK44" s="21"/>
      <c r="AL44" s="21"/>
      <c r="AM44" s="20">
        <f t="shared" si="6"/>
        <v>48649</v>
      </c>
      <c r="AN44" s="20">
        <f t="shared" si="7"/>
        <v>46859</v>
      </c>
      <c r="AO44" s="20">
        <f t="shared" si="8"/>
        <v>2774.6051971406669</v>
      </c>
      <c r="AP44" s="30">
        <f t="shared" si="2"/>
        <v>44084.39480285933</v>
      </c>
      <c r="AQ44" s="30">
        <f t="shared" ref="AQ44:AQ75" si="16">AN44+AO44</f>
        <v>49633.60519714067</v>
      </c>
      <c r="AR44" s="13"/>
      <c r="AS44" s="13"/>
      <c r="AT44" s="13"/>
      <c r="AU44" s="13"/>
      <c r="AV44" s="15"/>
      <c r="AW44" s="15"/>
      <c r="AX44" s="14">
        <f>+(U44-AQ44)/AQ44</f>
        <v>5.9121129549307379E-2</v>
      </c>
      <c r="AY44" s="15"/>
      <c r="AZ44" s="15"/>
      <c r="BA44" s="20">
        <f>+AVERAGE(AC44,AG44)</f>
        <v>46689.5</v>
      </c>
      <c r="BB44" s="20">
        <f>+SMALL((AC44,AG44),1)</f>
        <v>46520</v>
      </c>
      <c r="BC44" s="20">
        <f t="shared" si="9"/>
        <v>-334</v>
      </c>
      <c r="BD44" s="14">
        <f t="shared" si="10"/>
        <v>-7.1285269133905321E-3</v>
      </c>
      <c r="BE44" s="20">
        <f>M44</f>
        <v>46854</v>
      </c>
      <c r="BF44" s="12"/>
    </row>
    <row r="45" spans="2:58" ht="45.95" customHeight="1">
      <c r="B45" s="17">
        <v>34</v>
      </c>
      <c r="C45" s="18" t="s">
        <v>121</v>
      </c>
      <c r="D45" s="49" t="s">
        <v>122</v>
      </c>
      <c r="E45" s="50" t="s">
        <v>122</v>
      </c>
      <c r="F45" s="51" t="s">
        <v>122</v>
      </c>
      <c r="G45" s="18" t="s">
        <v>123</v>
      </c>
      <c r="H45" s="18">
        <v>48</v>
      </c>
      <c r="I45" s="18" t="s">
        <v>0</v>
      </c>
      <c r="J45" s="20">
        <v>4066</v>
      </c>
      <c r="K45" s="20"/>
      <c r="L45" s="20">
        <v>4066</v>
      </c>
      <c r="M45" s="20">
        <v>4066</v>
      </c>
      <c r="N45" s="19" t="s">
        <v>236</v>
      </c>
      <c r="O45" s="10"/>
      <c r="P45" s="10"/>
      <c r="Q45" s="10"/>
      <c r="R45" s="10"/>
      <c r="S45" s="20">
        <v>5059</v>
      </c>
      <c r="T45" s="20"/>
      <c r="U45" s="20">
        <v>5059</v>
      </c>
      <c r="V45" s="20">
        <v>242832</v>
      </c>
      <c r="W45" s="11">
        <v>11000</v>
      </c>
      <c r="X45" s="11"/>
      <c r="Y45" s="11">
        <f t="shared" si="5"/>
        <v>11000</v>
      </c>
      <c r="Z45" s="11">
        <f>H45*Y45</f>
        <v>528000</v>
      </c>
      <c r="AA45" s="21">
        <v>4148</v>
      </c>
      <c r="AB45" s="21"/>
      <c r="AC45" s="21">
        <v>4148.25</v>
      </c>
      <c r="AD45" s="21">
        <f t="shared" si="15"/>
        <v>199116</v>
      </c>
      <c r="AE45" s="11">
        <v>4418</v>
      </c>
      <c r="AF45" s="11"/>
      <c r="AG45" s="11">
        <v>4418</v>
      </c>
      <c r="AH45" s="11">
        <f>H45*AG45</f>
        <v>212064</v>
      </c>
      <c r="AI45" s="21"/>
      <c r="AJ45" s="21"/>
      <c r="AK45" s="21"/>
      <c r="AL45" s="21"/>
      <c r="AM45" s="20">
        <f t="shared" si="6"/>
        <v>6156.3125</v>
      </c>
      <c r="AN45" s="20">
        <f t="shared" si="7"/>
        <v>4738.5</v>
      </c>
      <c r="AO45" s="20">
        <f t="shared" si="8"/>
        <v>2816.0010951646927</v>
      </c>
      <c r="AP45" s="30">
        <f t="shared" si="2"/>
        <v>1922.4989048353073</v>
      </c>
      <c r="AQ45" s="30">
        <f t="shared" si="16"/>
        <v>7554.5010951646927</v>
      </c>
      <c r="AR45" s="13"/>
      <c r="AS45" s="13"/>
      <c r="AT45" s="13"/>
      <c r="AU45" s="13"/>
      <c r="AV45" s="14">
        <f>+(Y45-AQ45)/AQ45</f>
        <v>0.45608556560281938</v>
      </c>
      <c r="AW45" s="14"/>
      <c r="AX45" s="14"/>
      <c r="AY45" s="15"/>
      <c r="AZ45" s="15"/>
      <c r="BA45" s="20">
        <f>+AVERAGE(U45,AC45,AG45)</f>
        <v>4541.75</v>
      </c>
      <c r="BB45" s="20">
        <f>+SMALL((U45:AC45,AG45),1)</f>
        <v>4148</v>
      </c>
      <c r="BC45" s="20">
        <f t="shared" si="9"/>
        <v>82</v>
      </c>
      <c r="BD45" s="14">
        <f t="shared" si="10"/>
        <v>2.0167240531234629E-2</v>
      </c>
      <c r="BE45" s="20">
        <f>+BB45</f>
        <v>4148</v>
      </c>
      <c r="BF45" s="12"/>
    </row>
    <row r="46" spans="2:58" ht="39.75" customHeight="1">
      <c r="B46" s="17">
        <v>35</v>
      </c>
      <c r="C46" s="18" t="s">
        <v>124</v>
      </c>
      <c r="D46" s="49" t="s">
        <v>125</v>
      </c>
      <c r="E46" s="50" t="s">
        <v>125</v>
      </c>
      <c r="F46" s="51" t="s">
        <v>125</v>
      </c>
      <c r="G46" s="18" t="s">
        <v>112</v>
      </c>
      <c r="H46" s="18">
        <v>150</v>
      </c>
      <c r="I46" s="18" t="s">
        <v>0</v>
      </c>
      <c r="J46" s="20">
        <v>14912</v>
      </c>
      <c r="K46" s="20"/>
      <c r="L46" s="20">
        <v>14912</v>
      </c>
      <c r="M46" s="20">
        <v>14912</v>
      </c>
      <c r="N46" s="19" t="s">
        <v>236</v>
      </c>
      <c r="O46" s="10"/>
      <c r="P46" s="10"/>
      <c r="Q46" s="10"/>
      <c r="R46" s="10"/>
      <c r="S46" s="20">
        <v>20004</v>
      </c>
      <c r="T46" s="20"/>
      <c r="U46" s="20">
        <v>20004</v>
      </c>
      <c r="V46" s="20">
        <v>3000600</v>
      </c>
      <c r="W46" s="21"/>
      <c r="X46" s="11"/>
      <c r="Y46" s="11"/>
      <c r="Z46" s="11"/>
      <c r="AA46" s="21">
        <v>16403</v>
      </c>
      <c r="AB46" s="21"/>
      <c r="AC46" s="21">
        <v>16403</v>
      </c>
      <c r="AD46" s="21">
        <f t="shared" si="15"/>
        <v>2460450</v>
      </c>
      <c r="AE46" s="11">
        <v>16403</v>
      </c>
      <c r="AF46" s="11"/>
      <c r="AG46" s="11">
        <v>16403</v>
      </c>
      <c r="AH46" s="11">
        <f>H46*AG46</f>
        <v>2460450</v>
      </c>
      <c r="AI46" s="21"/>
      <c r="AJ46" s="21"/>
      <c r="AK46" s="21"/>
      <c r="AL46" s="21"/>
      <c r="AM46" s="20">
        <f t="shared" si="6"/>
        <v>17603.333333333332</v>
      </c>
      <c r="AN46" s="20">
        <f t="shared" si="7"/>
        <v>16403</v>
      </c>
      <c r="AO46" s="20">
        <f t="shared" si="8"/>
        <v>1697.5276793685052</v>
      </c>
      <c r="AP46" s="30">
        <f t="shared" si="2"/>
        <v>14705.472320631496</v>
      </c>
      <c r="AQ46" s="30">
        <f t="shared" si="16"/>
        <v>18100.527679368504</v>
      </c>
      <c r="AR46" s="13"/>
      <c r="AS46" s="13"/>
      <c r="AT46" s="13"/>
      <c r="AU46" s="13"/>
      <c r="AV46" s="15"/>
      <c r="AW46" s="15"/>
      <c r="AX46" s="14">
        <f>+(U46-AQ46)/AQ46</f>
        <v>0.10516115078794788</v>
      </c>
      <c r="AY46" s="15"/>
      <c r="AZ46" s="15"/>
      <c r="BA46" s="20">
        <f>+AVERAGE(AC46,AG46)</f>
        <v>16403</v>
      </c>
      <c r="BB46" s="20">
        <f>+SMALL((AC46,AG46),1)</f>
        <v>16403</v>
      </c>
      <c r="BC46" s="20">
        <f t="shared" si="9"/>
        <v>1491</v>
      </c>
      <c r="BD46" s="14">
        <f t="shared" si="10"/>
        <v>9.9986587982832623E-2</v>
      </c>
      <c r="BE46" s="20">
        <f>+BB46</f>
        <v>16403</v>
      </c>
      <c r="BF46" s="12"/>
    </row>
    <row r="47" spans="2:58" ht="75" customHeight="1">
      <c r="B47" s="17">
        <v>36</v>
      </c>
      <c r="C47" s="18" t="s">
        <v>126</v>
      </c>
      <c r="D47" s="49" t="s">
        <v>127</v>
      </c>
      <c r="E47" s="50" t="s">
        <v>127</v>
      </c>
      <c r="F47" s="51" t="s">
        <v>127</v>
      </c>
      <c r="G47" s="18" t="s">
        <v>90</v>
      </c>
      <c r="H47" s="18">
        <v>24</v>
      </c>
      <c r="I47" s="18" t="s">
        <v>0</v>
      </c>
      <c r="J47" s="20"/>
      <c r="K47" s="20"/>
      <c r="L47" s="20"/>
      <c r="M47" s="20"/>
      <c r="N47" s="19"/>
      <c r="O47" s="10"/>
      <c r="P47" s="10"/>
      <c r="Q47" s="10"/>
      <c r="R47" s="10"/>
      <c r="S47" s="20">
        <v>10393</v>
      </c>
      <c r="T47" s="20"/>
      <c r="U47" s="20">
        <v>10393</v>
      </c>
      <c r="V47" s="20">
        <v>249432</v>
      </c>
      <c r="W47" s="11">
        <v>11000</v>
      </c>
      <c r="X47" s="11"/>
      <c r="Y47" s="11">
        <f t="shared" si="5"/>
        <v>11000</v>
      </c>
      <c r="Z47" s="11">
        <f>H47*Y47</f>
        <v>264000</v>
      </c>
      <c r="AA47" s="21">
        <v>10901</v>
      </c>
      <c r="AB47" s="21"/>
      <c r="AC47" s="21">
        <v>10901</v>
      </c>
      <c r="AD47" s="21">
        <f t="shared" si="15"/>
        <v>261624</v>
      </c>
      <c r="AE47" s="11"/>
      <c r="AF47" s="11"/>
      <c r="AG47" s="11"/>
      <c r="AH47" s="11"/>
      <c r="AI47" s="21"/>
      <c r="AJ47" s="21"/>
      <c r="AK47" s="21"/>
      <c r="AL47" s="21"/>
      <c r="AM47" s="20">
        <f t="shared" si="6"/>
        <v>10764.666666666666</v>
      </c>
      <c r="AN47" s="20">
        <f t="shared" si="7"/>
        <v>10901</v>
      </c>
      <c r="AO47" s="20">
        <f t="shared" si="8"/>
        <v>265.89764112446647</v>
      </c>
      <c r="AP47" s="30">
        <f t="shared" si="2"/>
        <v>10635.102358875534</v>
      </c>
      <c r="AQ47" s="30">
        <f t="shared" si="16"/>
        <v>11166.897641124466</v>
      </c>
      <c r="AR47" s="13"/>
      <c r="AS47" s="13"/>
      <c r="AT47" s="13"/>
      <c r="AU47" s="13"/>
      <c r="AV47" s="15"/>
      <c r="AW47" s="15"/>
      <c r="AX47" s="14">
        <f>+(U47-AQ47)/AQ47</f>
        <v>-6.9302832890168503E-2</v>
      </c>
      <c r="AY47" s="15"/>
      <c r="AZ47" s="15"/>
      <c r="BA47" s="20">
        <f>+AVERAGE(Y47,AC47)</f>
        <v>10950.5</v>
      </c>
      <c r="BB47" s="20">
        <f>+SMALL((Y47,AC47),1)</f>
        <v>10901</v>
      </c>
      <c r="BC47" s="20"/>
      <c r="BD47" s="14"/>
      <c r="BE47" s="20">
        <f>+BB47</f>
        <v>10901</v>
      </c>
      <c r="BF47" s="12"/>
    </row>
    <row r="48" spans="2:58" ht="42" customHeight="1">
      <c r="B48" s="17">
        <v>37</v>
      </c>
      <c r="C48" s="18" t="s">
        <v>128</v>
      </c>
      <c r="D48" s="49" t="s">
        <v>60</v>
      </c>
      <c r="E48" s="50" t="s">
        <v>60</v>
      </c>
      <c r="F48" s="51" t="s">
        <v>60</v>
      </c>
      <c r="G48" s="18" t="s">
        <v>129</v>
      </c>
      <c r="H48" s="18">
        <v>320</v>
      </c>
      <c r="I48" s="18" t="s">
        <v>0</v>
      </c>
      <c r="J48" s="20"/>
      <c r="K48" s="20"/>
      <c r="L48" s="20"/>
      <c r="M48" s="20"/>
      <c r="N48" s="19"/>
      <c r="O48" s="10"/>
      <c r="P48" s="10"/>
      <c r="Q48" s="10"/>
      <c r="R48" s="10"/>
      <c r="S48" s="20"/>
      <c r="T48" s="20"/>
      <c r="U48" s="20"/>
      <c r="V48" s="20"/>
      <c r="W48" s="11">
        <v>11000</v>
      </c>
      <c r="X48" s="11"/>
      <c r="Y48" s="11">
        <f t="shared" si="5"/>
        <v>11000</v>
      </c>
      <c r="Z48" s="11">
        <f>H48*Y48</f>
        <v>3520000</v>
      </c>
      <c r="AA48" s="21">
        <v>9079</v>
      </c>
      <c r="AB48" s="21"/>
      <c r="AC48" s="21">
        <v>9079</v>
      </c>
      <c r="AD48" s="21">
        <f t="shared" si="15"/>
        <v>2905280</v>
      </c>
      <c r="AE48" s="11">
        <v>22200</v>
      </c>
      <c r="AF48" s="11"/>
      <c r="AG48" s="11">
        <v>22200</v>
      </c>
      <c r="AH48" s="11">
        <f>H48*AG48</f>
        <v>7104000</v>
      </c>
      <c r="AI48" s="21"/>
      <c r="AJ48" s="21"/>
      <c r="AK48" s="21"/>
      <c r="AL48" s="21"/>
      <c r="AM48" s="20">
        <f t="shared" si="6"/>
        <v>14093</v>
      </c>
      <c r="AN48" s="20">
        <f t="shared" si="7"/>
        <v>11000</v>
      </c>
      <c r="AO48" s="20">
        <f t="shared" si="8"/>
        <v>5785.9108761427242</v>
      </c>
      <c r="AP48" s="30">
        <f t="shared" si="2"/>
        <v>5214.0891238572758</v>
      </c>
      <c r="AQ48" s="30">
        <f t="shared" si="16"/>
        <v>16785.910876142723</v>
      </c>
      <c r="AR48" s="13"/>
      <c r="AS48" s="13"/>
      <c r="AT48" s="13"/>
      <c r="AU48" s="13"/>
      <c r="AV48" s="15"/>
      <c r="AW48" s="15"/>
      <c r="AX48" s="14"/>
      <c r="AY48" s="14"/>
      <c r="AZ48" s="14">
        <f>+(AG48-AQ48)/AQ48</f>
        <v>0.32253770223170597</v>
      </c>
      <c r="BA48" s="20">
        <f>+AVERAGE(Y48,AC48)</f>
        <v>10039.5</v>
      </c>
      <c r="BB48" s="20">
        <f>+SMALL((Y48,AC48),1)</f>
        <v>9079</v>
      </c>
      <c r="BC48" s="20"/>
      <c r="BD48" s="14"/>
      <c r="BE48" s="20">
        <f>BA48</f>
        <v>10039.5</v>
      </c>
      <c r="BF48" s="12"/>
    </row>
    <row r="49" spans="2:58" ht="76.5" customHeight="1">
      <c r="B49" s="17">
        <v>38</v>
      </c>
      <c r="C49" s="18" t="s">
        <v>130</v>
      </c>
      <c r="D49" s="49" t="s">
        <v>131</v>
      </c>
      <c r="E49" s="50" t="s">
        <v>131</v>
      </c>
      <c r="F49" s="51" t="s">
        <v>131</v>
      </c>
      <c r="G49" s="18" t="s">
        <v>70</v>
      </c>
      <c r="H49" s="18">
        <v>48</v>
      </c>
      <c r="I49" s="18" t="s">
        <v>0</v>
      </c>
      <c r="J49" s="20">
        <v>59239</v>
      </c>
      <c r="K49" s="20"/>
      <c r="L49" s="20">
        <v>59239</v>
      </c>
      <c r="M49" s="20">
        <v>59239</v>
      </c>
      <c r="N49" s="19" t="s">
        <v>239</v>
      </c>
      <c r="O49" s="10">
        <v>64118</v>
      </c>
      <c r="P49" s="10"/>
      <c r="Q49" s="10">
        <f t="shared" si="11"/>
        <v>64118</v>
      </c>
      <c r="R49" s="10">
        <f>+Q49*H49</f>
        <v>3077664</v>
      </c>
      <c r="S49" s="20">
        <v>66463</v>
      </c>
      <c r="T49" s="20"/>
      <c r="U49" s="20">
        <v>66463</v>
      </c>
      <c r="V49" s="20">
        <v>3190224</v>
      </c>
      <c r="W49" s="21"/>
      <c r="X49" s="11"/>
      <c r="Y49" s="11"/>
      <c r="Z49" s="11"/>
      <c r="AA49" s="21">
        <v>59890</v>
      </c>
      <c r="AB49" s="21"/>
      <c r="AC49" s="21">
        <v>59890</v>
      </c>
      <c r="AD49" s="21">
        <f t="shared" si="15"/>
        <v>2874720</v>
      </c>
      <c r="AE49" s="11">
        <v>58691</v>
      </c>
      <c r="AF49" s="11"/>
      <c r="AG49" s="11">
        <v>58691</v>
      </c>
      <c r="AH49" s="11">
        <f>H49*AG49</f>
        <v>2817168</v>
      </c>
      <c r="AI49" s="21"/>
      <c r="AJ49" s="21"/>
      <c r="AK49" s="21"/>
      <c r="AL49" s="21"/>
      <c r="AM49" s="20">
        <f t="shared" si="6"/>
        <v>62290.5</v>
      </c>
      <c r="AN49" s="20">
        <f t="shared" si="7"/>
        <v>62004</v>
      </c>
      <c r="AO49" s="20">
        <f t="shared" si="8"/>
        <v>3141.1905784272308</v>
      </c>
      <c r="AP49" s="30">
        <f t="shared" si="2"/>
        <v>58862.809421572769</v>
      </c>
      <c r="AQ49" s="30">
        <f t="shared" si="16"/>
        <v>65145.190578427231</v>
      </c>
      <c r="AR49" s="13"/>
      <c r="AS49" s="13"/>
      <c r="AT49" s="13"/>
      <c r="AU49" s="13"/>
      <c r="AV49" s="15"/>
      <c r="AW49" s="15"/>
      <c r="AX49" s="14">
        <f>+(U49-AQ49)/AQ49</f>
        <v>2.0228805992765952E-2</v>
      </c>
      <c r="AY49" s="15"/>
      <c r="AZ49" s="15"/>
      <c r="BA49" s="20">
        <f>+AVERAGE(Q49,AC49,AG49)</f>
        <v>60899.666666666664</v>
      </c>
      <c r="BB49" s="20">
        <f>+SMALL((Q49,AC49,AG49),1)</f>
        <v>58691</v>
      </c>
      <c r="BC49" s="20">
        <f t="shared" si="9"/>
        <v>-548</v>
      </c>
      <c r="BD49" s="14">
        <f t="shared" si="10"/>
        <v>-9.250662570266209E-3</v>
      </c>
      <c r="BE49" s="20">
        <f>+BB49</f>
        <v>58691</v>
      </c>
      <c r="BF49" s="12"/>
    </row>
    <row r="50" spans="2:58" ht="79.5" customHeight="1">
      <c r="B50" s="17">
        <v>39</v>
      </c>
      <c r="C50" s="18" t="s">
        <v>132</v>
      </c>
      <c r="D50" s="49" t="s">
        <v>133</v>
      </c>
      <c r="E50" s="50" t="s">
        <v>133</v>
      </c>
      <c r="F50" s="51" t="s">
        <v>133</v>
      </c>
      <c r="G50" s="18" t="s">
        <v>134</v>
      </c>
      <c r="H50" s="18">
        <v>150</v>
      </c>
      <c r="I50" s="18" t="s">
        <v>0</v>
      </c>
      <c r="J50" s="20">
        <v>5870</v>
      </c>
      <c r="K50" s="20">
        <f>+J50*19%</f>
        <v>1115.3</v>
      </c>
      <c r="L50" s="20">
        <f>+J50+K50</f>
        <v>6985.3</v>
      </c>
      <c r="M50" s="20">
        <f>+L50</f>
        <v>6985.3</v>
      </c>
      <c r="N50" s="19" t="s">
        <v>239</v>
      </c>
      <c r="O50" s="10">
        <v>6353</v>
      </c>
      <c r="P50" s="10">
        <f>+O50*19%</f>
        <v>1207.07</v>
      </c>
      <c r="Q50" s="10">
        <f t="shared" si="11"/>
        <v>7560.07</v>
      </c>
      <c r="R50" s="10">
        <f>+Q50*H50</f>
        <v>1134010.5</v>
      </c>
      <c r="S50" s="20">
        <v>6585</v>
      </c>
      <c r="T50" s="20">
        <v>1251</v>
      </c>
      <c r="U50" s="20">
        <v>7836</v>
      </c>
      <c r="V50" s="20">
        <v>1175400</v>
      </c>
      <c r="W50" s="21"/>
      <c r="X50" s="11"/>
      <c r="Y50" s="11"/>
      <c r="Z50" s="11"/>
      <c r="AA50" s="21">
        <v>5934</v>
      </c>
      <c r="AB50" s="21">
        <f>+AA50*19%</f>
        <v>1127.46</v>
      </c>
      <c r="AC50" s="21">
        <v>7062</v>
      </c>
      <c r="AD50" s="21">
        <f t="shared" si="15"/>
        <v>1059300</v>
      </c>
      <c r="AE50" s="11">
        <v>5858</v>
      </c>
      <c r="AF50" s="11">
        <v>1113</v>
      </c>
      <c r="AG50" s="11">
        <v>6971</v>
      </c>
      <c r="AH50" s="11">
        <f>H50*AG50</f>
        <v>1045650</v>
      </c>
      <c r="AI50" s="21"/>
      <c r="AJ50" s="21"/>
      <c r="AK50" s="21"/>
      <c r="AL50" s="21"/>
      <c r="AM50" s="20">
        <f t="shared" si="6"/>
        <v>7357.2674999999999</v>
      </c>
      <c r="AN50" s="20">
        <f t="shared" si="7"/>
        <v>7311.0349999999999</v>
      </c>
      <c r="AO50" s="20">
        <f t="shared" si="8"/>
        <v>355.91401302667185</v>
      </c>
      <c r="AP50" s="30">
        <f t="shared" si="2"/>
        <v>6955.1209869733284</v>
      </c>
      <c r="AQ50" s="30">
        <f t="shared" si="16"/>
        <v>7666.9490130266713</v>
      </c>
      <c r="AR50" s="13"/>
      <c r="AS50" s="13"/>
      <c r="AT50" s="13"/>
      <c r="AU50" s="13"/>
      <c r="AV50" s="15"/>
      <c r="AW50" s="15"/>
      <c r="AX50" s="14">
        <f>+(U50-AQ50)/AQ50</f>
        <v>2.2049316708132465E-2</v>
      </c>
      <c r="AY50" s="15"/>
      <c r="AZ50" s="15"/>
      <c r="BA50" s="20">
        <f>+AVERAGE(Q50,AC50,AG50)</f>
        <v>7197.69</v>
      </c>
      <c r="BB50" s="20">
        <f>+SMALL((Q50,AC50,AG50),1)</f>
        <v>6971</v>
      </c>
      <c r="BC50" s="20">
        <f t="shared" si="9"/>
        <v>-14.300000000000182</v>
      </c>
      <c r="BD50" s="14">
        <f t="shared" si="10"/>
        <v>-2.0471561708158823E-3</v>
      </c>
      <c r="BE50" s="20">
        <f>M50</f>
        <v>6985.3</v>
      </c>
      <c r="BF50" s="12"/>
    </row>
    <row r="51" spans="2:58" ht="33.950000000000003" customHeight="1">
      <c r="B51" s="17">
        <v>40</v>
      </c>
      <c r="C51" s="18" t="s">
        <v>135</v>
      </c>
      <c r="D51" s="49" t="s">
        <v>136</v>
      </c>
      <c r="E51" s="50" t="s">
        <v>136</v>
      </c>
      <c r="F51" s="51" t="s">
        <v>136</v>
      </c>
      <c r="G51" s="18" t="s">
        <v>137</v>
      </c>
      <c r="H51" s="18">
        <v>24</v>
      </c>
      <c r="I51" s="18" t="s">
        <v>0</v>
      </c>
      <c r="J51" s="20">
        <v>27311</v>
      </c>
      <c r="K51" s="20"/>
      <c r="L51" s="20">
        <v>27311</v>
      </c>
      <c r="M51" s="20">
        <v>27311</v>
      </c>
      <c r="N51" s="19" t="s">
        <v>240</v>
      </c>
      <c r="O51" s="10">
        <v>29560</v>
      </c>
      <c r="P51" s="10"/>
      <c r="Q51" s="10">
        <f t="shared" si="11"/>
        <v>29560</v>
      </c>
      <c r="R51" s="10">
        <f>+Q51*H51</f>
        <v>709440</v>
      </c>
      <c r="S51" s="20">
        <v>29761</v>
      </c>
      <c r="T51" s="20"/>
      <c r="U51" s="20">
        <v>29761</v>
      </c>
      <c r="V51" s="20">
        <v>714264</v>
      </c>
      <c r="W51" s="21"/>
      <c r="X51" s="11"/>
      <c r="Y51" s="11"/>
      <c r="Z51" s="11"/>
      <c r="AA51" s="21">
        <v>22527</v>
      </c>
      <c r="AB51" s="21"/>
      <c r="AC51" s="21">
        <v>22527</v>
      </c>
      <c r="AD51" s="21">
        <f t="shared" si="15"/>
        <v>540648</v>
      </c>
      <c r="AE51" s="11">
        <v>26989</v>
      </c>
      <c r="AF51" s="11"/>
      <c r="AG51" s="11">
        <v>26989</v>
      </c>
      <c r="AH51" s="11">
        <f>H51*AG51</f>
        <v>647736</v>
      </c>
      <c r="AI51" s="21"/>
      <c r="AJ51" s="21"/>
      <c r="AK51" s="21"/>
      <c r="AL51" s="21"/>
      <c r="AM51" s="20">
        <f t="shared" si="6"/>
        <v>27209.25</v>
      </c>
      <c r="AN51" s="20">
        <f t="shared" si="7"/>
        <v>28274.5</v>
      </c>
      <c r="AO51" s="20">
        <f t="shared" si="8"/>
        <v>2915.8801737211356</v>
      </c>
      <c r="AP51" s="30">
        <f t="shared" si="2"/>
        <v>25358.619826278864</v>
      </c>
      <c r="AQ51" s="30">
        <f t="shared" si="16"/>
        <v>31190.380173721136</v>
      </c>
      <c r="AR51" s="13"/>
      <c r="AS51" s="13"/>
      <c r="AT51" s="13">
        <f>+(AP51-AC51)/AC51</f>
        <v>0.12569893133923132</v>
      </c>
      <c r="AU51" s="13"/>
      <c r="AV51" s="15"/>
      <c r="AW51" s="15"/>
      <c r="AX51" s="14">
        <f>+(U51-AQ51)/AQ51</f>
        <v>-4.5827597027029293E-2</v>
      </c>
      <c r="AY51" s="15"/>
      <c r="AZ51" s="15"/>
      <c r="BA51" s="20">
        <f>+AVERAGE(Q51,AG51)</f>
        <v>28274.5</v>
      </c>
      <c r="BB51" s="20">
        <f>+SMALL((Q51,AG51),1)</f>
        <v>26989</v>
      </c>
      <c r="BC51" s="20">
        <f t="shared" si="9"/>
        <v>-322</v>
      </c>
      <c r="BD51" s="14">
        <f t="shared" si="10"/>
        <v>-1.1790121196587455E-2</v>
      </c>
      <c r="BE51" s="20">
        <f>M51</f>
        <v>27311</v>
      </c>
      <c r="BF51" s="12"/>
    </row>
    <row r="52" spans="2:58" ht="102" customHeight="1">
      <c r="B52" s="17">
        <v>41</v>
      </c>
      <c r="C52" s="18" t="s">
        <v>138</v>
      </c>
      <c r="D52" s="49" t="s">
        <v>139</v>
      </c>
      <c r="E52" s="50" t="s">
        <v>139</v>
      </c>
      <c r="F52" s="51" t="s">
        <v>139</v>
      </c>
      <c r="G52" s="18" t="s">
        <v>85</v>
      </c>
      <c r="H52" s="18">
        <v>10</v>
      </c>
      <c r="I52" s="18" t="s">
        <v>0</v>
      </c>
      <c r="J52" s="20">
        <v>43398</v>
      </c>
      <c r="K52" s="20"/>
      <c r="L52" s="20">
        <v>43398</v>
      </c>
      <c r="M52" s="20">
        <v>43398</v>
      </c>
      <c r="N52" s="19" t="s">
        <v>239</v>
      </c>
      <c r="O52" s="10"/>
      <c r="P52" s="10"/>
      <c r="Q52" s="10"/>
      <c r="R52" s="10"/>
      <c r="S52" s="20">
        <v>8137</v>
      </c>
      <c r="T52" s="20"/>
      <c r="U52" s="20">
        <v>8137</v>
      </c>
      <c r="V52" s="20">
        <v>81370</v>
      </c>
      <c r="W52" s="21"/>
      <c r="X52" s="11"/>
      <c r="Y52" s="11"/>
      <c r="Z52" s="11"/>
      <c r="AA52" s="21">
        <v>51551</v>
      </c>
      <c r="AB52" s="21"/>
      <c r="AC52" s="21">
        <v>51551</v>
      </c>
      <c r="AD52" s="21">
        <f t="shared" si="15"/>
        <v>515510</v>
      </c>
      <c r="AE52" s="11"/>
      <c r="AF52" s="11"/>
      <c r="AG52" s="11"/>
      <c r="AH52" s="11"/>
      <c r="AI52" s="21"/>
      <c r="AJ52" s="21"/>
      <c r="AK52" s="21"/>
      <c r="AL52" s="21"/>
      <c r="AM52" s="20">
        <f t="shared" si="6"/>
        <v>29844</v>
      </c>
      <c r="AN52" s="20">
        <f t="shared" si="7"/>
        <v>29844</v>
      </c>
      <c r="AO52" s="20">
        <f t="shared" si="8"/>
        <v>21707</v>
      </c>
      <c r="AP52" s="30">
        <f>AN52-AO52</f>
        <v>8137</v>
      </c>
      <c r="AQ52" s="30">
        <f t="shared" si="16"/>
        <v>51551</v>
      </c>
      <c r="AR52" s="13"/>
      <c r="AS52" s="13"/>
      <c r="AT52" s="13"/>
      <c r="AU52" s="13"/>
      <c r="AV52" s="15"/>
      <c r="AW52" s="15"/>
      <c r="AX52" s="14"/>
      <c r="AY52" s="15"/>
      <c r="AZ52" s="15"/>
      <c r="BA52" s="20">
        <f>AVERAGE(U52,AC52)</f>
        <v>29844</v>
      </c>
      <c r="BB52" s="20">
        <f>AQ52</f>
        <v>51551</v>
      </c>
      <c r="BC52" s="20">
        <f t="shared" si="9"/>
        <v>8153</v>
      </c>
      <c r="BD52" s="14">
        <f t="shared" si="10"/>
        <v>0.18786580026729344</v>
      </c>
      <c r="BE52" s="20">
        <f t="shared" ref="BE52:BE57" si="17">+BB52</f>
        <v>51551</v>
      </c>
      <c r="BF52" s="12"/>
    </row>
    <row r="53" spans="2:58" ht="54.75" customHeight="1">
      <c r="B53" s="17">
        <v>42</v>
      </c>
      <c r="C53" s="18" t="s">
        <v>140</v>
      </c>
      <c r="D53" s="49" t="s">
        <v>141</v>
      </c>
      <c r="E53" s="50" t="s">
        <v>141</v>
      </c>
      <c r="F53" s="51" t="s">
        <v>141</v>
      </c>
      <c r="G53" s="18" t="s">
        <v>142</v>
      </c>
      <c r="H53" s="18">
        <v>24</v>
      </c>
      <c r="I53" s="18" t="s">
        <v>0</v>
      </c>
      <c r="J53" s="20">
        <v>5022</v>
      </c>
      <c r="K53" s="20">
        <f>+J53*19%</f>
        <v>954.18000000000006</v>
      </c>
      <c r="L53" s="20">
        <f>+J53+K53</f>
        <v>5976.18</v>
      </c>
      <c r="M53" s="20">
        <f>+L53</f>
        <v>5976.18</v>
      </c>
      <c r="N53" s="19" t="s">
        <v>239</v>
      </c>
      <c r="O53" s="10"/>
      <c r="P53" s="10"/>
      <c r="Q53" s="10"/>
      <c r="R53" s="10"/>
      <c r="S53" s="20"/>
      <c r="T53" s="20"/>
      <c r="U53" s="20"/>
      <c r="V53" s="20"/>
      <c r="W53" s="21"/>
      <c r="X53" s="11"/>
      <c r="Y53" s="11"/>
      <c r="Z53" s="11"/>
      <c r="AA53" s="21">
        <v>5077</v>
      </c>
      <c r="AB53" s="21">
        <f>+AA53*19%</f>
        <v>964.63</v>
      </c>
      <c r="AC53" s="21">
        <v>6042</v>
      </c>
      <c r="AD53" s="21">
        <f t="shared" si="15"/>
        <v>145008</v>
      </c>
      <c r="AE53" s="11"/>
      <c r="AF53" s="11"/>
      <c r="AG53" s="11"/>
      <c r="AH53" s="11"/>
      <c r="AI53" s="21">
        <v>5452</v>
      </c>
      <c r="AJ53" s="21">
        <v>0.19</v>
      </c>
      <c r="AK53" s="21">
        <v>6487.88</v>
      </c>
      <c r="AL53" s="21">
        <v>155709.12</v>
      </c>
      <c r="AM53" s="20">
        <f t="shared" si="6"/>
        <v>6264.9400000000005</v>
      </c>
      <c r="AN53" s="20">
        <f t="shared" si="7"/>
        <v>6264.9400000000005</v>
      </c>
      <c r="AO53" s="20">
        <f t="shared" si="8"/>
        <v>222.94000000000005</v>
      </c>
      <c r="AP53" s="30">
        <f t="shared" si="2"/>
        <v>6042</v>
      </c>
      <c r="AQ53" s="30">
        <f t="shared" si="16"/>
        <v>6487.880000000001</v>
      </c>
      <c r="AR53" s="13"/>
      <c r="AS53" s="13"/>
      <c r="AT53" s="13"/>
      <c r="AU53" s="13"/>
      <c r="AV53" s="15"/>
      <c r="AW53" s="15"/>
      <c r="AX53" s="14"/>
      <c r="AY53" s="15"/>
      <c r="AZ53" s="15"/>
      <c r="BA53" s="20">
        <f>AVERAGE(AC53,AK53)</f>
        <v>6264.9400000000005</v>
      </c>
      <c r="BB53" s="20">
        <f>SMALL((AC53,AK53),1)</f>
        <v>6042</v>
      </c>
      <c r="BC53" s="20">
        <f t="shared" si="9"/>
        <v>65.819999999999709</v>
      </c>
      <c r="BD53" s="14">
        <f t="shared" si="10"/>
        <v>1.1013724486210205E-2</v>
      </c>
      <c r="BE53" s="20">
        <f t="shared" si="17"/>
        <v>6042</v>
      </c>
      <c r="BF53" s="12"/>
    </row>
    <row r="54" spans="2:58" ht="45.95" customHeight="1">
      <c r="B54" s="17">
        <v>43</v>
      </c>
      <c r="C54" s="18" t="s">
        <v>143</v>
      </c>
      <c r="D54" s="49" t="s">
        <v>144</v>
      </c>
      <c r="E54" s="50" t="s">
        <v>144</v>
      </c>
      <c r="F54" s="51" t="s">
        <v>144</v>
      </c>
      <c r="G54" s="18" t="s">
        <v>145</v>
      </c>
      <c r="H54" s="18">
        <v>24</v>
      </c>
      <c r="I54" s="18" t="s">
        <v>0</v>
      </c>
      <c r="J54" s="20">
        <v>52061</v>
      </c>
      <c r="K54" s="20"/>
      <c r="L54" s="20">
        <v>52061</v>
      </c>
      <c r="M54" s="20">
        <v>52061</v>
      </c>
      <c r="N54" s="19" t="s">
        <v>236</v>
      </c>
      <c r="O54" s="10"/>
      <c r="P54" s="10"/>
      <c r="Q54" s="10"/>
      <c r="R54" s="10"/>
      <c r="S54" s="20">
        <v>64759</v>
      </c>
      <c r="T54" s="20"/>
      <c r="U54" s="20">
        <v>64759</v>
      </c>
      <c r="V54" s="20">
        <v>1554216</v>
      </c>
      <c r="W54" s="11">
        <v>19535.714285714286</v>
      </c>
      <c r="X54" s="11"/>
      <c r="Y54" s="11">
        <f t="shared" si="5"/>
        <v>19535.714285714286</v>
      </c>
      <c r="Z54" s="11">
        <f>H54*Y54</f>
        <v>468857.14285714284</v>
      </c>
      <c r="AA54" s="21">
        <v>53102</v>
      </c>
      <c r="AB54" s="21"/>
      <c r="AC54" s="21">
        <v>53102</v>
      </c>
      <c r="AD54" s="21">
        <f t="shared" si="15"/>
        <v>1274448</v>
      </c>
      <c r="AE54" s="11"/>
      <c r="AF54" s="11"/>
      <c r="AG54" s="11"/>
      <c r="AH54" s="11"/>
      <c r="AI54" s="21"/>
      <c r="AJ54" s="21"/>
      <c r="AK54" s="21"/>
      <c r="AL54" s="21"/>
      <c r="AM54" s="20">
        <f t="shared" si="6"/>
        <v>45798.904761904763</v>
      </c>
      <c r="AN54" s="20">
        <f t="shared" si="7"/>
        <v>53102</v>
      </c>
      <c r="AO54" s="20">
        <f t="shared" si="8"/>
        <v>19170.946642276111</v>
      </c>
      <c r="AP54" s="30">
        <f t="shared" si="2"/>
        <v>33931.053357723889</v>
      </c>
      <c r="AQ54" s="30">
        <f t="shared" si="16"/>
        <v>72272.946642276103</v>
      </c>
      <c r="AR54" s="13"/>
      <c r="AS54" s="13">
        <f>+(AP54-Y54)/Y54</f>
        <v>0.73687293238806006</v>
      </c>
      <c r="AT54" s="13"/>
      <c r="AU54" s="13"/>
      <c r="AV54" s="15"/>
      <c r="AW54" s="15"/>
      <c r="AX54" s="28">
        <f>+(U54-AQ54)/AQ54</f>
        <v>-0.10396624174557753</v>
      </c>
      <c r="AY54" s="15"/>
      <c r="AZ54" s="15"/>
      <c r="BA54" s="20">
        <f>+AVERAGE(AC54)</f>
        <v>53102</v>
      </c>
      <c r="BB54" s="20">
        <f>+SMALL((AC54),1)</f>
        <v>53102</v>
      </c>
      <c r="BC54" s="20">
        <f t="shared" si="9"/>
        <v>1041</v>
      </c>
      <c r="BD54" s="14">
        <f t="shared" si="10"/>
        <v>1.9995774187971802E-2</v>
      </c>
      <c r="BE54" s="20">
        <f t="shared" si="17"/>
        <v>53102</v>
      </c>
      <c r="BF54" s="12"/>
    </row>
    <row r="55" spans="2:58" ht="82.5" customHeight="1">
      <c r="B55" s="17">
        <v>44</v>
      </c>
      <c r="C55" s="18" t="s">
        <v>146</v>
      </c>
      <c r="D55" s="49" t="s">
        <v>147</v>
      </c>
      <c r="E55" s="50" t="s">
        <v>147</v>
      </c>
      <c r="F55" s="51" t="s">
        <v>147</v>
      </c>
      <c r="G55" s="18" t="s">
        <v>137</v>
      </c>
      <c r="H55" s="18">
        <v>12</v>
      </c>
      <c r="I55" s="18" t="s">
        <v>0</v>
      </c>
      <c r="J55" s="20">
        <v>248132</v>
      </c>
      <c r="K55" s="20"/>
      <c r="L55" s="20">
        <v>248132</v>
      </c>
      <c r="M55" s="20">
        <v>248132</v>
      </c>
      <c r="N55" s="19" t="s">
        <v>239</v>
      </c>
      <c r="O55" s="10"/>
      <c r="P55" s="10"/>
      <c r="Q55" s="10"/>
      <c r="R55" s="10"/>
      <c r="S55" s="20">
        <v>316071</v>
      </c>
      <c r="T55" s="20"/>
      <c r="U55" s="20">
        <v>316071</v>
      </c>
      <c r="V55" s="20">
        <v>3792852</v>
      </c>
      <c r="W55" s="11">
        <v>261680.9523809524</v>
      </c>
      <c r="X55" s="11"/>
      <c r="Y55" s="11">
        <f t="shared" si="5"/>
        <v>261680.9523809524</v>
      </c>
      <c r="Z55" s="11">
        <f>H55*Y55</f>
        <v>3140171.4285714286</v>
      </c>
      <c r="AA55" s="21">
        <v>339493</v>
      </c>
      <c r="AB55" s="21"/>
      <c r="AC55" s="21">
        <v>339493</v>
      </c>
      <c r="AD55" s="21">
        <f t="shared" si="15"/>
        <v>4073916</v>
      </c>
      <c r="AE55" s="11">
        <v>277858</v>
      </c>
      <c r="AF55" s="11"/>
      <c r="AG55" s="11">
        <v>277858</v>
      </c>
      <c r="AH55" s="11">
        <f>H55*AG55</f>
        <v>3334296</v>
      </c>
      <c r="AI55" s="21"/>
      <c r="AJ55" s="21"/>
      <c r="AK55" s="21"/>
      <c r="AL55" s="21"/>
      <c r="AM55" s="20">
        <f t="shared" si="6"/>
        <v>298775.73809523811</v>
      </c>
      <c r="AN55" s="20">
        <f t="shared" si="7"/>
        <v>296964.5</v>
      </c>
      <c r="AO55" s="20">
        <f t="shared" si="8"/>
        <v>30702.591077892033</v>
      </c>
      <c r="AP55" s="30">
        <f t="shared" si="2"/>
        <v>266261.90892210795</v>
      </c>
      <c r="AQ55" s="30">
        <f t="shared" si="16"/>
        <v>327667.09107789205</v>
      </c>
      <c r="AR55" s="13"/>
      <c r="AS55" s="16">
        <f>+(AP55-Y55)/Y55</f>
        <v>1.7505884549390678E-2</v>
      </c>
      <c r="AT55" s="13"/>
      <c r="AU55" s="13"/>
      <c r="AV55" s="15"/>
      <c r="AW55" s="15"/>
      <c r="AX55" s="14">
        <f>+(U55-AQ55)/AQ55</f>
        <v>-3.5389855721383576E-2</v>
      </c>
      <c r="AY55" s="15"/>
      <c r="AZ55" s="15"/>
      <c r="BA55" s="20">
        <f>+AVERAGE(AC55,AG55)</f>
        <v>308675.5</v>
      </c>
      <c r="BB55" s="20">
        <f>+SMALL((AC55,AG55),1)</f>
        <v>277858</v>
      </c>
      <c r="BC55" s="20">
        <f t="shared" si="9"/>
        <v>29726</v>
      </c>
      <c r="BD55" s="14">
        <f t="shared" si="10"/>
        <v>0.11979913916786226</v>
      </c>
      <c r="BE55" s="20">
        <f t="shared" si="17"/>
        <v>277858</v>
      </c>
      <c r="BF55" s="12"/>
    </row>
    <row r="56" spans="2:58" ht="124.5" customHeight="1">
      <c r="B56" s="17">
        <v>45</v>
      </c>
      <c r="C56" s="18" t="s">
        <v>148</v>
      </c>
      <c r="D56" s="49" t="s">
        <v>149</v>
      </c>
      <c r="E56" s="50" t="s">
        <v>149</v>
      </c>
      <c r="F56" s="51" t="s">
        <v>149</v>
      </c>
      <c r="G56" s="18" t="s">
        <v>150</v>
      </c>
      <c r="H56" s="18">
        <v>24</v>
      </c>
      <c r="I56" s="18" t="s">
        <v>0</v>
      </c>
      <c r="J56" s="20">
        <v>18799</v>
      </c>
      <c r="K56" s="20"/>
      <c r="L56" s="20">
        <v>18799</v>
      </c>
      <c r="M56" s="20">
        <v>18799</v>
      </c>
      <c r="N56" s="19" t="s">
        <v>239</v>
      </c>
      <c r="O56" s="10"/>
      <c r="P56" s="10"/>
      <c r="Q56" s="10"/>
      <c r="R56" s="10"/>
      <c r="S56" s="20"/>
      <c r="T56" s="20"/>
      <c r="U56" s="20"/>
      <c r="V56" s="20"/>
      <c r="W56" s="21"/>
      <c r="X56" s="11"/>
      <c r="Y56" s="11"/>
      <c r="Z56" s="11"/>
      <c r="AA56" s="21">
        <v>19220</v>
      </c>
      <c r="AB56" s="21"/>
      <c r="AC56" s="21">
        <v>19220</v>
      </c>
      <c r="AD56" s="21">
        <f t="shared" si="15"/>
        <v>461280</v>
      </c>
      <c r="AE56" s="11">
        <v>19858</v>
      </c>
      <c r="AF56" s="11"/>
      <c r="AG56" s="11">
        <v>19858</v>
      </c>
      <c r="AH56" s="11">
        <f>H56*AG56</f>
        <v>476592</v>
      </c>
      <c r="AI56" s="21"/>
      <c r="AJ56" s="21"/>
      <c r="AK56" s="21"/>
      <c r="AL56" s="21"/>
      <c r="AM56" s="20">
        <f t="shared" si="6"/>
        <v>19539</v>
      </c>
      <c r="AN56" s="20">
        <f t="shared" si="7"/>
        <v>19539</v>
      </c>
      <c r="AO56" s="20">
        <f t="shared" si="8"/>
        <v>319</v>
      </c>
      <c r="AP56" s="30">
        <f t="shared" si="2"/>
        <v>19220</v>
      </c>
      <c r="AQ56" s="30">
        <f t="shared" si="16"/>
        <v>19858</v>
      </c>
      <c r="AR56" s="13"/>
      <c r="AS56" s="13"/>
      <c r="AT56" s="13"/>
      <c r="AU56" s="13"/>
      <c r="AV56" s="15"/>
      <c r="AW56" s="15"/>
      <c r="AX56" s="14"/>
      <c r="AY56" s="15"/>
      <c r="AZ56" s="15"/>
      <c r="BA56" s="20">
        <f>AVERAGE(AC56,AG56)</f>
        <v>19539</v>
      </c>
      <c r="BB56" s="20">
        <f>SMALL((AC56,AG56),1)</f>
        <v>19220</v>
      </c>
      <c r="BC56" s="20">
        <f t="shared" si="9"/>
        <v>421</v>
      </c>
      <c r="BD56" s="14">
        <f t="shared" si="10"/>
        <v>2.2394808234480559E-2</v>
      </c>
      <c r="BE56" s="20">
        <f t="shared" si="17"/>
        <v>19220</v>
      </c>
      <c r="BF56" s="12"/>
    </row>
    <row r="57" spans="2:58" ht="51" customHeight="1">
      <c r="B57" s="17">
        <v>46</v>
      </c>
      <c r="C57" s="18" t="s">
        <v>151</v>
      </c>
      <c r="D57" s="49" t="s">
        <v>152</v>
      </c>
      <c r="E57" s="50" t="s">
        <v>152</v>
      </c>
      <c r="F57" s="51" t="s">
        <v>152</v>
      </c>
      <c r="G57" s="18" t="s">
        <v>153</v>
      </c>
      <c r="H57" s="18">
        <v>12</v>
      </c>
      <c r="I57" s="18" t="s">
        <v>0</v>
      </c>
      <c r="J57" s="20">
        <v>6261</v>
      </c>
      <c r="K57" s="20"/>
      <c r="L57" s="20">
        <v>6261</v>
      </c>
      <c r="M57" s="20">
        <v>6261</v>
      </c>
      <c r="N57" s="19" t="s">
        <v>239</v>
      </c>
      <c r="O57" s="10"/>
      <c r="P57" s="10"/>
      <c r="Q57" s="10"/>
      <c r="R57" s="10"/>
      <c r="S57" s="20"/>
      <c r="T57" s="20"/>
      <c r="U57" s="20"/>
      <c r="V57" s="20"/>
      <c r="W57" s="11">
        <v>11000</v>
      </c>
      <c r="X57" s="11"/>
      <c r="Y57" s="11">
        <f t="shared" si="5"/>
        <v>11000</v>
      </c>
      <c r="Z57" s="11">
        <f>H57*Y57</f>
        <v>132000</v>
      </c>
      <c r="AA57" s="21">
        <v>6330</v>
      </c>
      <c r="AB57" s="21"/>
      <c r="AC57" s="21">
        <v>6330</v>
      </c>
      <c r="AD57" s="21">
        <f t="shared" si="15"/>
        <v>75960</v>
      </c>
      <c r="AE57" s="11">
        <v>6691</v>
      </c>
      <c r="AF57" s="11"/>
      <c r="AG57" s="11">
        <v>6691</v>
      </c>
      <c r="AH57" s="11">
        <f>H57*AG57</f>
        <v>80292</v>
      </c>
      <c r="AI57" s="21"/>
      <c r="AJ57" s="21"/>
      <c r="AK57" s="21"/>
      <c r="AL57" s="21"/>
      <c r="AM57" s="20">
        <f t="shared" si="6"/>
        <v>8007</v>
      </c>
      <c r="AN57" s="20">
        <f t="shared" si="7"/>
        <v>6691</v>
      </c>
      <c r="AO57" s="20">
        <f t="shared" si="8"/>
        <v>2121.4958559155066</v>
      </c>
      <c r="AP57" s="30">
        <f t="shared" si="2"/>
        <v>4569.5041440844934</v>
      </c>
      <c r="AQ57" s="30">
        <f t="shared" si="16"/>
        <v>8812.4958559155057</v>
      </c>
      <c r="AR57" s="13"/>
      <c r="AS57" s="13"/>
      <c r="AT57" s="13"/>
      <c r="AU57" s="13"/>
      <c r="AV57" s="14">
        <f>+(Y57-AQ57)/AQ57</f>
        <v>0.24822753733451153</v>
      </c>
      <c r="AW57" s="14"/>
      <c r="AX57" s="14"/>
      <c r="AY57" s="15"/>
      <c r="AZ57" s="15"/>
      <c r="BA57" s="20">
        <f>+AVERAGE(AC57,AG57)</f>
        <v>6510.5</v>
      </c>
      <c r="BB57" s="20">
        <f>+SMALL((AC57,AG57),1)</f>
        <v>6330</v>
      </c>
      <c r="BC57" s="20">
        <f t="shared" si="9"/>
        <v>69</v>
      </c>
      <c r="BD57" s="14">
        <f t="shared" si="10"/>
        <v>1.1020603737422138E-2</v>
      </c>
      <c r="BE57" s="20">
        <f t="shared" si="17"/>
        <v>6330</v>
      </c>
      <c r="BF57" s="12"/>
    </row>
    <row r="58" spans="2:58" ht="57" customHeight="1">
      <c r="B58" s="17">
        <v>47</v>
      </c>
      <c r="C58" s="18" t="s">
        <v>154</v>
      </c>
      <c r="D58" s="49" t="s">
        <v>155</v>
      </c>
      <c r="E58" s="50" t="s">
        <v>155</v>
      </c>
      <c r="F58" s="51" t="s">
        <v>155</v>
      </c>
      <c r="G58" s="18" t="s">
        <v>93</v>
      </c>
      <c r="H58" s="18">
        <v>12</v>
      </c>
      <c r="I58" s="18" t="s">
        <v>0</v>
      </c>
      <c r="J58" s="20"/>
      <c r="K58" s="20"/>
      <c r="L58" s="20"/>
      <c r="M58" s="20"/>
      <c r="N58" s="19"/>
      <c r="O58" s="10"/>
      <c r="P58" s="10"/>
      <c r="Q58" s="10"/>
      <c r="R58" s="10"/>
      <c r="S58" s="20">
        <v>80098</v>
      </c>
      <c r="T58" s="20"/>
      <c r="U58" s="20">
        <v>80098</v>
      </c>
      <c r="V58" s="20">
        <v>961176</v>
      </c>
      <c r="W58" s="21"/>
      <c r="X58" s="11"/>
      <c r="Y58" s="11"/>
      <c r="Z58" s="11"/>
      <c r="AA58" s="21">
        <v>69872</v>
      </c>
      <c r="AB58" s="21"/>
      <c r="AC58" s="21">
        <v>69872</v>
      </c>
      <c r="AD58" s="21">
        <f t="shared" si="15"/>
        <v>838464</v>
      </c>
      <c r="AE58" s="11">
        <v>70858</v>
      </c>
      <c r="AF58" s="11"/>
      <c r="AG58" s="11">
        <v>70858</v>
      </c>
      <c r="AH58" s="11">
        <f>H58*AG58</f>
        <v>850296</v>
      </c>
      <c r="AI58" s="21">
        <v>72529</v>
      </c>
      <c r="AJ58" s="21"/>
      <c r="AK58" s="21">
        <v>72529</v>
      </c>
      <c r="AL58" s="21">
        <v>870348</v>
      </c>
      <c r="AM58" s="20">
        <f t="shared" si="6"/>
        <v>73339.25</v>
      </c>
      <c r="AN58" s="20">
        <f t="shared" si="7"/>
        <v>71693.5</v>
      </c>
      <c r="AO58" s="20">
        <f t="shared" si="8"/>
        <v>4016.0811355723381</v>
      </c>
      <c r="AP58" s="30">
        <f t="shared" si="2"/>
        <v>67677.418864427658</v>
      </c>
      <c r="AQ58" s="30">
        <f t="shared" si="16"/>
        <v>75709.581135572342</v>
      </c>
      <c r="AR58" s="13"/>
      <c r="AS58" s="13"/>
      <c r="AT58" s="13"/>
      <c r="AU58" s="13"/>
      <c r="AV58" s="15"/>
      <c r="AW58" s="15"/>
      <c r="AX58" s="14">
        <f>+(U58-AQ58)/AQ58</f>
        <v>5.7963850791478602E-2</v>
      </c>
      <c r="AY58" s="15"/>
      <c r="AZ58" s="15"/>
      <c r="BA58" s="20">
        <f>+AVERAGE(AC58,AG58,AK58)</f>
        <v>71086.333333333328</v>
      </c>
      <c r="BB58" s="20">
        <f>+SMALL((AC58,AG58,AK58),1)</f>
        <v>69872</v>
      </c>
      <c r="BC58" s="20"/>
      <c r="BD58" s="14"/>
      <c r="BE58" s="20">
        <f>BA58</f>
        <v>71086.333333333328</v>
      </c>
      <c r="BF58" s="12"/>
    </row>
    <row r="59" spans="2:58" ht="68.25" customHeight="1">
      <c r="B59" s="17">
        <v>48</v>
      </c>
      <c r="C59" s="18" t="s">
        <v>156</v>
      </c>
      <c r="D59" s="49" t="s">
        <v>157</v>
      </c>
      <c r="E59" s="50" t="s">
        <v>157</v>
      </c>
      <c r="F59" s="51" t="s">
        <v>157</v>
      </c>
      <c r="G59" s="18" t="s">
        <v>158</v>
      </c>
      <c r="H59" s="18">
        <v>30</v>
      </c>
      <c r="I59" s="18" t="s">
        <v>0</v>
      </c>
      <c r="J59" s="20">
        <v>17417</v>
      </c>
      <c r="K59" s="20"/>
      <c r="L59" s="20">
        <v>17417</v>
      </c>
      <c r="M59" s="20">
        <v>17417</v>
      </c>
      <c r="N59" s="19" t="s">
        <v>240</v>
      </c>
      <c r="O59" s="10"/>
      <c r="P59" s="10"/>
      <c r="Q59" s="10"/>
      <c r="R59" s="10"/>
      <c r="S59" s="20">
        <v>18973</v>
      </c>
      <c r="T59" s="20"/>
      <c r="U59" s="20">
        <v>18973</v>
      </c>
      <c r="V59" s="20">
        <v>569190</v>
      </c>
      <c r="W59" s="11">
        <v>19827.380952380954</v>
      </c>
      <c r="X59" s="11"/>
      <c r="Y59" s="11">
        <f t="shared" si="5"/>
        <v>19827.380952380954</v>
      </c>
      <c r="Z59" s="11">
        <f>H59*Y59</f>
        <v>594821.42857142864</v>
      </c>
      <c r="AA59" s="21">
        <v>17363</v>
      </c>
      <c r="AB59" s="21"/>
      <c r="AC59" s="21">
        <v>17363</v>
      </c>
      <c r="AD59" s="21">
        <f t="shared" si="15"/>
        <v>520890</v>
      </c>
      <c r="AE59" s="11">
        <v>17691</v>
      </c>
      <c r="AF59" s="11"/>
      <c r="AG59" s="11">
        <v>17691</v>
      </c>
      <c r="AH59" s="11">
        <f>H59*AG59</f>
        <v>530730</v>
      </c>
      <c r="AI59" s="21"/>
      <c r="AJ59" s="21"/>
      <c r="AK59" s="21"/>
      <c r="AL59" s="21"/>
      <c r="AM59" s="20">
        <f t="shared" si="6"/>
        <v>18463.595238095237</v>
      </c>
      <c r="AN59" s="20">
        <f t="shared" si="7"/>
        <v>18332</v>
      </c>
      <c r="AO59" s="20">
        <f t="shared" si="8"/>
        <v>990.91094024468214</v>
      </c>
      <c r="AP59" s="30">
        <f t="shared" si="2"/>
        <v>17341.089059755319</v>
      </c>
      <c r="AQ59" s="30">
        <f t="shared" si="16"/>
        <v>19322.910940244681</v>
      </c>
      <c r="AR59" s="13"/>
      <c r="AS59" s="13"/>
      <c r="AT59" s="13"/>
      <c r="AU59" s="13"/>
      <c r="AV59" s="15"/>
      <c r="AW59" s="15"/>
      <c r="AX59" s="14">
        <f>+(U59-AQ59)/AQ59</f>
        <v>-1.8108603891347764E-2</v>
      </c>
      <c r="AY59" s="15"/>
      <c r="AZ59" s="15"/>
      <c r="BA59" s="20">
        <f>+AVERAGE(Y59,AC59,AG59)</f>
        <v>18293.79365079365</v>
      </c>
      <c r="BB59" s="20">
        <f>+SMALL((Y59,AC59,AG59),1)</f>
        <v>17363</v>
      </c>
      <c r="BC59" s="20">
        <f t="shared" si="9"/>
        <v>-54</v>
      </c>
      <c r="BD59" s="14">
        <f t="shared" si="10"/>
        <v>-3.1004191307343401E-3</v>
      </c>
      <c r="BE59" s="20">
        <f>+BB59</f>
        <v>17363</v>
      </c>
      <c r="BF59" s="12"/>
    </row>
    <row r="60" spans="2:58" ht="54" customHeight="1">
      <c r="B60" s="17">
        <v>49</v>
      </c>
      <c r="C60" s="18" t="s">
        <v>159</v>
      </c>
      <c r="D60" s="49" t="s">
        <v>160</v>
      </c>
      <c r="E60" s="50" t="s">
        <v>160</v>
      </c>
      <c r="F60" s="51" t="s">
        <v>160</v>
      </c>
      <c r="G60" s="18" t="s">
        <v>93</v>
      </c>
      <c r="H60" s="18">
        <v>24</v>
      </c>
      <c r="I60" s="18" t="s">
        <v>0</v>
      </c>
      <c r="J60" s="20">
        <v>22578</v>
      </c>
      <c r="K60" s="20">
        <f>+J60*19%</f>
        <v>4289.82</v>
      </c>
      <c r="L60" s="20">
        <f>+J60+K60</f>
        <v>26867.82</v>
      </c>
      <c r="M60" s="20">
        <f>+L60</f>
        <v>26867.82</v>
      </c>
      <c r="N60" s="19" t="s">
        <v>240</v>
      </c>
      <c r="O60" s="10"/>
      <c r="P60" s="10"/>
      <c r="Q60" s="10"/>
      <c r="R60" s="10"/>
      <c r="S60" s="20">
        <v>43413</v>
      </c>
      <c r="T60" s="20">
        <v>8248</v>
      </c>
      <c r="U60" s="20">
        <v>51661</v>
      </c>
      <c r="V60" s="20">
        <v>1239864</v>
      </c>
      <c r="W60" s="21"/>
      <c r="X60" s="11"/>
      <c r="Y60" s="11"/>
      <c r="Z60" s="11"/>
      <c r="AA60" s="21">
        <v>29166</v>
      </c>
      <c r="AB60" s="21">
        <f>+AA60*19%</f>
        <v>5541.54</v>
      </c>
      <c r="AC60" s="21">
        <v>34708</v>
      </c>
      <c r="AD60" s="21">
        <f t="shared" si="15"/>
        <v>832992</v>
      </c>
      <c r="AE60" s="11"/>
      <c r="AF60" s="11"/>
      <c r="AG60" s="11"/>
      <c r="AH60" s="11"/>
      <c r="AI60" s="21"/>
      <c r="AJ60" s="21"/>
      <c r="AK60" s="21"/>
      <c r="AL60" s="21"/>
      <c r="AM60" s="20">
        <f t="shared" si="6"/>
        <v>43184.5</v>
      </c>
      <c r="AN60" s="20">
        <f t="shared" si="7"/>
        <v>43184.5</v>
      </c>
      <c r="AO60" s="20">
        <f t="shared" si="8"/>
        <v>8476.5</v>
      </c>
      <c r="AP60" s="30">
        <f t="shared" si="2"/>
        <v>34708</v>
      </c>
      <c r="AQ60" s="30">
        <f t="shared" si="16"/>
        <v>51661</v>
      </c>
      <c r="AR60" s="13"/>
      <c r="AS60" s="13"/>
      <c r="AT60" s="13"/>
      <c r="AU60" s="13"/>
      <c r="AV60" s="15"/>
      <c r="AW60" s="15"/>
      <c r="AX60" s="14"/>
      <c r="AY60" s="15"/>
      <c r="AZ60" s="15"/>
      <c r="BA60" s="20">
        <f>AVERAGE(U60,AC60)</f>
        <v>43184.5</v>
      </c>
      <c r="BB60" s="20">
        <f>SMALL((U60,AC60),1)</f>
        <v>34708</v>
      </c>
      <c r="BC60" s="20">
        <f t="shared" si="9"/>
        <v>7840.18</v>
      </c>
      <c r="BD60" s="14">
        <f t="shared" si="10"/>
        <v>0.29180558750207497</v>
      </c>
      <c r="BE60" s="20">
        <f>+BB60</f>
        <v>34708</v>
      </c>
      <c r="BF60" s="12"/>
    </row>
    <row r="61" spans="2:58" ht="41.1" customHeight="1">
      <c r="B61" s="17">
        <v>50</v>
      </c>
      <c r="C61" s="18" t="s">
        <v>161</v>
      </c>
      <c r="D61" s="49" t="s">
        <v>162</v>
      </c>
      <c r="E61" s="50" t="s">
        <v>162</v>
      </c>
      <c r="F61" s="51" t="s">
        <v>162</v>
      </c>
      <c r="G61" s="18" t="s">
        <v>163</v>
      </c>
      <c r="H61" s="18">
        <v>24</v>
      </c>
      <c r="I61" s="18" t="s">
        <v>0</v>
      </c>
      <c r="J61" s="20">
        <v>72045</v>
      </c>
      <c r="K61" s="20"/>
      <c r="L61" s="20">
        <v>72045</v>
      </c>
      <c r="M61" s="20">
        <v>72045</v>
      </c>
      <c r="N61" s="19" t="s">
        <v>240</v>
      </c>
      <c r="O61" s="10"/>
      <c r="P61" s="10"/>
      <c r="Q61" s="10"/>
      <c r="R61" s="10"/>
      <c r="S61" s="20">
        <v>77991</v>
      </c>
      <c r="T61" s="20"/>
      <c r="U61" s="20">
        <v>77991</v>
      </c>
      <c r="V61" s="20">
        <v>1871784</v>
      </c>
      <c r="W61" s="21"/>
      <c r="X61" s="11"/>
      <c r="Y61" s="11"/>
      <c r="Z61" s="11"/>
      <c r="AA61" s="21">
        <v>69670</v>
      </c>
      <c r="AB61" s="21"/>
      <c r="AC61" s="21">
        <v>69670</v>
      </c>
      <c r="AD61" s="21">
        <f t="shared" si="15"/>
        <v>1672080</v>
      </c>
      <c r="AE61" s="11"/>
      <c r="AF61" s="11"/>
      <c r="AG61" s="11"/>
      <c r="AH61" s="11"/>
      <c r="AI61" s="21">
        <v>30051</v>
      </c>
      <c r="AJ61" s="21"/>
      <c r="AK61" s="21">
        <v>30051</v>
      </c>
      <c r="AL61" s="21">
        <v>721224</v>
      </c>
      <c r="AM61" s="20">
        <f t="shared" si="6"/>
        <v>59237.333333333336</v>
      </c>
      <c r="AN61" s="20">
        <f t="shared" si="7"/>
        <v>69670</v>
      </c>
      <c r="AO61" s="20">
        <f t="shared" si="8"/>
        <v>20915.565182152954</v>
      </c>
      <c r="AP61" s="30">
        <f t="shared" si="2"/>
        <v>48754.434817847046</v>
      </c>
      <c r="AQ61" s="30">
        <f t="shared" si="16"/>
        <v>90585.565182152961</v>
      </c>
      <c r="AR61" s="13"/>
      <c r="AS61" s="13"/>
      <c r="AT61" s="13"/>
      <c r="AU61" s="13">
        <f>+(AP61-AK61)/AK61</f>
        <v>0.62238976466164342</v>
      </c>
      <c r="AV61" s="15"/>
      <c r="AW61" s="15"/>
      <c r="AX61" s="14"/>
      <c r="AY61" s="15"/>
      <c r="AZ61" s="15"/>
      <c r="BA61" s="20">
        <f>+AVERAGE(U61,AC61)</f>
        <v>73830.5</v>
      </c>
      <c r="BB61" s="20">
        <f>+SMALL((U61,AC61),1)</f>
        <v>69670</v>
      </c>
      <c r="BC61" s="20">
        <f t="shared" si="9"/>
        <v>-2375</v>
      </c>
      <c r="BD61" s="14">
        <f t="shared" si="10"/>
        <v>-3.2965507668818103E-2</v>
      </c>
      <c r="BE61" s="20">
        <f>M61</f>
        <v>72045</v>
      </c>
      <c r="BF61" s="12"/>
    </row>
    <row r="62" spans="2:58" ht="74.25" customHeight="1">
      <c r="B62" s="17">
        <v>51</v>
      </c>
      <c r="C62" s="18" t="s">
        <v>164</v>
      </c>
      <c r="D62" s="49" t="s">
        <v>165</v>
      </c>
      <c r="E62" s="50" t="s">
        <v>165</v>
      </c>
      <c r="F62" s="51" t="s">
        <v>165</v>
      </c>
      <c r="G62" s="18" t="s">
        <v>90</v>
      </c>
      <c r="H62" s="18">
        <v>24</v>
      </c>
      <c r="I62" s="18" t="s">
        <v>0</v>
      </c>
      <c r="J62" s="20">
        <v>8845</v>
      </c>
      <c r="K62" s="20"/>
      <c r="L62" s="20">
        <v>8845</v>
      </c>
      <c r="M62" s="20">
        <v>8845</v>
      </c>
      <c r="N62" s="19" t="s">
        <v>240</v>
      </c>
      <c r="O62" s="10"/>
      <c r="P62" s="10"/>
      <c r="Q62" s="10"/>
      <c r="R62" s="10"/>
      <c r="S62" s="20">
        <v>11546</v>
      </c>
      <c r="T62" s="20"/>
      <c r="U62" s="20">
        <v>11546</v>
      </c>
      <c r="V62" s="20">
        <v>277104</v>
      </c>
      <c r="W62" s="11">
        <v>11000</v>
      </c>
      <c r="X62" s="11"/>
      <c r="Y62" s="11">
        <f t="shared" si="5"/>
        <v>11000</v>
      </c>
      <c r="Z62" s="11">
        <f>H62*Y62</f>
        <v>264000</v>
      </c>
      <c r="AA62" s="21">
        <v>8942</v>
      </c>
      <c r="AB62" s="21"/>
      <c r="AC62" s="21">
        <v>8942</v>
      </c>
      <c r="AD62" s="21">
        <f t="shared" si="15"/>
        <v>214608</v>
      </c>
      <c r="AE62" s="11"/>
      <c r="AF62" s="11"/>
      <c r="AG62" s="11"/>
      <c r="AH62" s="11"/>
      <c r="AI62" s="21"/>
      <c r="AJ62" s="21"/>
      <c r="AK62" s="21"/>
      <c r="AL62" s="21"/>
      <c r="AM62" s="20">
        <f t="shared" si="6"/>
        <v>10496</v>
      </c>
      <c r="AN62" s="20">
        <f t="shared" si="7"/>
        <v>11000</v>
      </c>
      <c r="AO62" s="20">
        <f t="shared" si="8"/>
        <v>1121.2243308098518</v>
      </c>
      <c r="AP62" s="30">
        <f t="shared" si="2"/>
        <v>9878.7756691901486</v>
      </c>
      <c r="AQ62" s="30">
        <f t="shared" si="16"/>
        <v>12121.224330809851</v>
      </c>
      <c r="AR62" s="13"/>
      <c r="AS62" s="13"/>
      <c r="AT62" s="13">
        <f>+(AP62-AC62)/AC62</f>
        <v>0.1047613139331412</v>
      </c>
      <c r="AU62" s="13"/>
      <c r="AV62" s="15"/>
      <c r="AW62" s="15"/>
      <c r="AX62" s="14"/>
      <c r="AY62" s="15"/>
      <c r="AZ62" s="15"/>
      <c r="BA62" s="20">
        <f>+AVERAGE(U62,Y62)</f>
        <v>11273</v>
      </c>
      <c r="BB62" s="20">
        <f>+SMALL((U62,Y62),1)</f>
        <v>11000</v>
      </c>
      <c r="BC62" s="20">
        <f t="shared" si="9"/>
        <v>2155</v>
      </c>
      <c r="BD62" s="14">
        <f t="shared" si="10"/>
        <v>0.24364047484454493</v>
      </c>
      <c r="BE62" s="20">
        <f>+BB62</f>
        <v>11000</v>
      </c>
      <c r="BF62" s="12"/>
    </row>
    <row r="63" spans="2:58" ht="56.1" customHeight="1">
      <c r="B63" s="17">
        <v>52</v>
      </c>
      <c r="C63" s="18" t="s">
        <v>166</v>
      </c>
      <c r="D63" s="49" t="s">
        <v>167</v>
      </c>
      <c r="E63" s="50" t="s">
        <v>167</v>
      </c>
      <c r="F63" s="51" t="s">
        <v>167</v>
      </c>
      <c r="G63" s="18" t="s">
        <v>85</v>
      </c>
      <c r="H63" s="18">
        <v>30</v>
      </c>
      <c r="I63" s="18" t="s">
        <v>0</v>
      </c>
      <c r="J63" s="20">
        <v>13323</v>
      </c>
      <c r="K63" s="20"/>
      <c r="L63" s="20">
        <v>13323</v>
      </c>
      <c r="M63" s="20">
        <v>13323</v>
      </c>
      <c r="N63" s="19" t="s">
        <v>240</v>
      </c>
      <c r="O63" s="10"/>
      <c r="P63" s="10"/>
      <c r="Q63" s="10"/>
      <c r="R63" s="10"/>
      <c r="S63" s="20">
        <v>14539</v>
      </c>
      <c r="T63" s="20"/>
      <c r="U63" s="20">
        <v>14539</v>
      </c>
      <c r="V63" s="20">
        <v>436170</v>
      </c>
      <c r="W63" s="11">
        <v>1513.0952380952381</v>
      </c>
      <c r="X63" s="11"/>
      <c r="Y63" s="11">
        <f t="shared" si="5"/>
        <v>1513.0952380952381</v>
      </c>
      <c r="Z63" s="11">
        <f>H63*Y63</f>
        <v>45392.857142857145</v>
      </c>
      <c r="AA63" s="21">
        <v>13101</v>
      </c>
      <c r="AB63" s="21"/>
      <c r="AC63" s="21">
        <v>13101</v>
      </c>
      <c r="AD63" s="21">
        <f t="shared" si="15"/>
        <v>393030</v>
      </c>
      <c r="AE63" s="11"/>
      <c r="AF63" s="11"/>
      <c r="AG63" s="11"/>
      <c r="AH63" s="11"/>
      <c r="AI63" s="21"/>
      <c r="AJ63" s="21"/>
      <c r="AK63" s="21"/>
      <c r="AL63" s="21"/>
      <c r="AM63" s="20">
        <f t="shared" si="6"/>
        <v>9717.6984126984116</v>
      </c>
      <c r="AN63" s="20">
        <f t="shared" si="7"/>
        <v>13101</v>
      </c>
      <c r="AO63" s="20">
        <f t="shared" si="8"/>
        <v>5831.1574574025117</v>
      </c>
      <c r="AP63" s="30">
        <f t="shared" si="2"/>
        <v>7269.8425425974883</v>
      </c>
      <c r="AQ63" s="30">
        <f t="shared" si="16"/>
        <v>18932.157457402511</v>
      </c>
      <c r="AR63" s="13"/>
      <c r="AS63" s="13">
        <f>+(AP63-Y63)/Y63</f>
        <v>3.8046166292540446</v>
      </c>
      <c r="AT63" s="13"/>
      <c r="AU63" s="13"/>
      <c r="AV63" s="15"/>
      <c r="AW63" s="15"/>
      <c r="AX63" s="14"/>
      <c r="AY63" s="15"/>
      <c r="AZ63" s="15"/>
      <c r="BA63" s="20">
        <f>+AVERAGE(U63,AC63)</f>
        <v>13820</v>
      </c>
      <c r="BB63" s="20">
        <f>+SMALL((U63,AC63),1)</f>
        <v>13101</v>
      </c>
      <c r="BC63" s="20">
        <f t="shared" si="9"/>
        <v>-222</v>
      </c>
      <c r="BD63" s="14">
        <f t="shared" si="10"/>
        <v>-1.6662913758162576E-2</v>
      </c>
      <c r="BE63" s="20">
        <f>M63</f>
        <v>13323</v>
      </c>
      <c r="BF63" s="12"/>
    </row>
    <row r="64" spans="2:58" ht="39.950000000000003" customHeight="1">
      <c r="B64" s="17">
        <v>53</v>
      </c>
      <c r="C64" s="18" t="s">
        <v>168</v>
      </c>
      <c r="D64" s="49" t="s">
        <v>169</v>
      </c>
      <c r="E64" s="50" t="s">
        <v>169</v>
      </c>
      <c r="F64" s="51" t="s">
        <v>169</v>
      </c>
      <c r="G64" s="18" t="s">
        <v>129</v>
      </c>
      <c r="H64" s="18">
        <v>30</v>
      </c>
      <c r="I64" s="18" t="s">
        <v>0</v>
      </c>
      <c r="J64" s="20">
        <v>45185</v>
      </c>
      <c r="K64" s="20"/>
      <c r="L64" s="20">
        <v>45185</v>
      </c>
      <c r="M64" s="20">
        <v>45185</v>
      </c>
      <c r="N64" s="19" t="s">
        <v>240</v>
      </c>
      <c r="O64" s="10"/>
      <c r="P64" s="10"/>
      <c r="Q64" s="10"/>
      <c r="R64" s="10"/>
      <c r="S64" s="20">
        <v>49230</v>
      </c>
      <c r="T64" s="20"/>
      <c r="U64" s="20">
        <v>49230</v>
      </c>
      <c r="V64" s="20">
        <v>1476900</v>
      </c>
      <c r="W64" s="11">
        <v>49500</v>
      </c>
      <c r="X64" s="11"/>
      <c r="Y64" s="11">
        <f t="shared" si="5"/>
        <v>49500</v>
      </c>
      <c r="Z64" s="11">
        <f>H64*Y64</f>
        <v>1485000</v>
      </c>
      <c r="AA64" s="21">
        <v>44362</v>
      </c>
      <c r="AB64" s="21"/>
      <c r="AC64" s="21">
        <v>44362</v>
      </c>
      <c r="AD64" s="21">
        <f t="shared" si="15"/>
        <v>1330860</v>
      </c>
      <c r="AE64" s="11"/>
      <c r="AF64" s="11"/>
      <c r="AG64" s="11"/>
      <c r="AH64" s="11"/>
      <c r="AI64" s="21"/>
      <c r="AJ64" s="21"/>
      <c r="AK64" s="21"/>
      <c r="AL64" s="21"/>
      <c r="AM64" s="20">
        <f t="shared" si="6"/>
        <v>47697.333333333336</v>
      </c>
      <c r="AN64" s="20">
        <f t="shared" si="7"/>
        <v>49230</v>
      </c>
      <c r="AO64" s="20">
        <f t="shared" si="8"/>
        <v>2361.0112710917374</v>
      </c>
      <c r="AP64" s="30">
        <f t="shared" si="2"/>
        <v>46868.988728908262</v>
      </c>
      <c r="AQ64" s="30">
        <f t="shared" si="16"/>
        <v>51591.011271091738</v>
      </c>
      <c r="AR64" s="13"/>
      <c r="AS64" s="13"/>
      <c r="AT64" s="13">
        <f>+(AP64-AC64)/AC64</f>
        <v>5.6512076301976057E-2</v>
      </c>
      <c r="AU64" s="13"/>
      <c r="AV64" s="15"/>
      <c r="AW64" s="15"/>
      <c r="AX64" s="14"/>
      <c r="AY64" s="15"/>
      <c r="AZ64" s="15"/>
      <c r="BA64" s="20">
        <f>+AVERAGE(U64,Y64)</f>
        <v>49365</v>
      </c>
      <c r="BB64" s="20">
        <f>+SMALL((U64,Y64),1)</f>
        <v>49230</v>
      </c>
      <c r="BC64" s="20">
        <f t="shared" si="9"/>
        <v>4045</v>
      </c>
      <c r="BD64" s="14">
        <f t="shared" si="10"/>
        <v>8.952085869204382E-2</v>
      </c>
      <c r="BE64" s="20">
        <f>+BB64</f>
        <v>49230</v>
      </c>
      <c r="BF64" s="12"/>
    </row>
    <row r="65" spans="2:58" ht="57.95" customHeight="1">
      <c r="B65" s="17">
        <v>54</v>
      </c>
      <c r="C65" s="18" t="s">
        <v>170</v>
      </c>
      <c r="D65" s="49" t="s">
        <v>171</v>
      </c>
      <c r="E65" s="50" t="s">
        <v>171</v>
      </c>
      <c r="F65" s="51" t="s">
        <v>171</v>
      </c>
      <c r="G65" s="18" t="s">
        <v>93</v>
      </c>
      <c r="H65" s="18">
        <v>24</v>
      </c>
      <c r="I65" s="18" t="s">
        <v>0</v>
      </c>
      <c r="J65" s="20">
        <v>57812</v>
      </c>
      <c r="K65" s="20"/>
      <c r="L65" s="20">
        <v>57812</v>
      </c>
      <c r="M65" s="20">
        <v>57812</v>
      </c>
      <c r="N65" s="19" t="s">
        <v>239</v>
      </c>
      <c r="O65" s="10"/>
      <c r="P65" s="10"/>
      <c r="Q65" s="10"/>
      <c r="R65" s="10"/>
      <c r="S65" s="20"/>
      <c r="T65" s="20"/>
      <c r="U65" s="20"/>
      <c r="V65" s="20"/>
      <c r="W65" s="21"/>
      <c r="X65" s="11"/>
      <c r="Y65" s="11"/>
      <c r="Z65" s="11"/>
      <c r="AA65" s="21">
        <v>116695</v>
      </c>
      <c r="AB65" s="21"/>
      <c r="AC65" s="21">
        <v>116695</v>
      </c>
      <c r="AD65" s="21">
        <f t="shared" si="15"/>
        <v>2800680</v>
      </c>
      <c r="AE65" s="11"/>
      <c r="AF65" s="11"/>
      <c r="AG65" s="11"/>
      <c r="AH65" s="11"/>
      <c r="AI65" s="21"/>
      <c r="AJ65" s="21"/>
      <c r="AK65" s="21"/>
      <c r="AL65" s="21"/>
      <c r="AM65" s="20">
        <f t="shared" si="6"/>
        <v>116695</v>
      </c>
      <c r="AN65" s="20">
        <f t="shared" si="7"/>
        <v>116695</v>
      </c>
      <c r="AO65" s="20">
        <f>_xlfn.STDEV.P(Q65,U65,Y65,AC65,AG65,AK65)</f>
        <v>0</v>
      </c>
      <c r="AP65" s="30">
        <f t="shared" si="2"/>
        <v>116695</v>
      </c>
      <c r="AQ65" s="30">
        <f t="shared" si="16"/>
        <v>116695</v>
      </c>
      <c r="AR65" s="13"/>
      <c r="AS65" s="13"/>
      <c r="AT65" s="13"/>
      <c r="AU65" s="13"/>
      <c r="AV65" s="15"/>
      <c r="AW65" s="15"/>
      <c r="AX65" s="14"/>
      <c r="AY65" s="15"/>
      <c r="AZ65" s="15"/>
      <c r="BA65" s="20">
        <f>M65</f>
        <v>57812</v>
      </c>
      <c r="BB65" s="20">
        <f>M65</f>
        <v>57812</v>
      </c>
      <c r="BC65" s="20">
        <f t="shared" si="9"/>
        <v>0</v>
      </c>
      <c r="BD65" s="14">
        <f t="shared" si="10"/>
        <v>0</v>
      </c>
      <c r="BE65" s="20">
        <f>+BB65</f>
        <v>57812</v>
      </c>
      <c r="BF65" s="12"/>
    </row>
    <row r="66" spans="2:58" ht="68.099999999999994" customHeight="1">
      <c r="B66" s="17">
        <v>55</v>
      </c>
      <c r="C66" s="18" t="s">
        <v>172</v>
      </c>
      <c r="D66" s="49" t="s">
        <v>173</v>
      </c>
      <c r="E66" s="50" t="s">
        <v>173</v>
      </c>
      <c r="F66" s="51" t="s">
        <v>173</v>
      </c>
      <c r="G66" s="18" t="s">
        <v>174</v>
      </c>
      <c r="H66" s="18">
        <v>600</v>
      </c>
      <c r="I66" s="18" t="s">
        <v>0</v>
      </c>
      <c r="J66" s="20">
        <v>1249</v>
      </c>
      <c r="K66" s="20"/>
      <c r="L66" s="20">
        <v>1249</v>
      </c>
      <c r="M66" s="20">
        <v>1249</v>
      </c>
      <c r="N66" s="19" t="s">
        <v>239</v>
      </c>
      <c r="O66" s="10"/>
      <c r="P66" s="10"/>
      <c r="Q66" s="10"/>
      <c r="R66" s="10"/>
      <c r="S66" s="20"/>
      <c r="T66" s="20"/>
      <c r="U66" s="20"/>
      <c r="V66" s="20"/>
      <c r="W66" s="21"/>
      <c r="X66" s="11"/>
      <c r="Y66" s="11"/>
      <c r="Z66" s="11"/>
      <c r="AA66" s="21">
        <v>1249</v>
      </c>
      <c r="AB66" s="21"/>
      <c r="AC66" s="21">
        <v>1249</v>
      </c>
      <c r="AD66" s="21">
        <f t="shared" si="15"/>
        <v>749400</v>
      </c>
      <c r="AE66" s="11">
        <v>1836</v>
      </c>
      <c r="AF66" s="11"/>
      <c r="AG66" s="11">
        <v>1836</v>
      </c>
      <c r="AH66" s="11">
        <f>H66*AG66</f>
        <v>1101600</v>
      </c>
      <c r="AI66" s="21"/>
      <c r="AJ66" s="21"/>
      <c r="AK66" s="21"/>
      <c r="AL66" s="21"/>
      <c r="AM66" s="20">
        <f t="shared" si="6"/>
        <v>1542.5</v>
      </c>
      <c r="AN66" s="20">
        <f t="shared" si="7"/>
        <v>1542.5</v>
      </c>
      <c r="AO66" s="20">
        <f t="shared" si="8"/>
        <v>293.5</v>
      </c>
      <c r="AP66" s="30">
        <f t="shared" si="2"/>
        <v>1249</v>
      </c>
      <c r="AQ66" s="30">
        <f t="shared" si="16"/>
        <v>1836</v>
      </c>
      <c r="AR66" s="13"/>
      <c r="AS66" s="13"/>
      <c r="AT66" s="13"/>
      <c r="AU66" s="13"/>
      <c r="AV66" s="15"/>
      <c r="AW66" s="15"/>
      <c r="AX66" s="14"/>
      <c r="AY66" s="15"/>
      <c r="AZ66" s="15"/>
      <c r="BA66" s="20">
        <f>AVERAGE(AC66,AG66)</f>
        <v>1542.5</v>
      </c>
      <c r="BB66" s="20">
        <f>SMALL((AC66,AG66),1)</f>
        <v>1249</v>
      </c>
      <c r="BC66" s="20">
        <f t="shared" si="9"/>
        <v>0</v>
      </c>
      <c r="BD66" s="14">
        <f t="shared" si="10"/>
        <v>0</v>
      </c>
      <c r="BE66" s="20">
        <f>+BB66</f>
        <v>1249</v>
      </c>
      <c r="BF66" s="12"/>
    </row>
    <row r="67" spans="2:58" ht="44.1" customHeight="1">
      <c r="B67" s="17">
        <v>56</v>
      </c>
      <c r="C67" s="18" t="s">
        <v>175</v>
      </c>
      <c r="D67" s="49" t="s">
        <v>176</v>
      </c>
      <c r="E67" s="50" t="s">
        <v>176</v>
      </c>
      <c r="F67" s="51" t="s">
        <v>176</v>
      </c>
      <c r="G67" s="18" t="s">
        <v>93</v>
      </c>
      <c r="H67" s="18">
        <v>24</v>
      </c>
      <c r="I67" s="18" t="s">
        <v>0</v>
      </c>
      <c r="J67" s="20">
        <v>76742</v>
      </c>
      <c r="K67" s="20"/>
      <c r="L67" s="20">
        <v>76742</v>
      </c>
      <c r="M67" s="20">
        <v>76742</v>
      </c>
      <c r="N67" s="19" t="s">
        <v>239</v>
      </c>
      <c r="O67" s="10"/>
      <c r="P67" s="10"/>
      <c r="Q67" s="10"/>
      <c r="R67" s="10"/>
      <c r="S67" s="20"/>
      <c r="T67" s="20"/>
      <c r="U67" s="20"/>
      <c r="V67" s="20"/>
      <c r="W67" s="21"/>
      <c r="X67" s="11"/>
      <c r="Y67" s="11"/>
      <c r="Z67" s="11"/>
      <c r="AA67" s="21">
        <v>191454</v>
      </c>
      <c r="AB67" s="21">
        <f>+AA67*19%</f>
        <v>36376.26</v>
      </c>
      <c r="AC67" s="21">
        <v>227830</v>
      </c>
      <c r="AD67" s="21">
        <f t="shared" si="15"/>
        <v>5467920</v>
      </c>
      <c r="AE67" s="11"/>
      <c r="AF67" s="11"/>
      <c r="AG67" s="11"/>
      <c r="AH67" s="11"/>
      <c r="AI67" s="21"/>
      <c r="AJ67" s="21"/>
      <c r="AK67" s="21"/>
      <c r="AL67" s="21"/>
      <c r="AM67" s="20">
        <f t="shared" si="6"/>
        <v>227830</v>
      </c>
      <c r="AN67" s="20">
        <f t="shared" si="7"/>
        <v>227830</v>
      </c>
      <c r="AO67" s="20">
        <f>_xlfn.STDEV.P(Q67,U67,Y67,AC67,AG67,AK67)</f>
        <v>0</v>
      </c>
      <c r="AP67" s="30">
        <f t="shared" si="2"/>
        <v>227830</v>
      </c>
      <c r="AQ67" s="30">
        <f t="shared" si="16"/>
        <v>227830</v>
      </c>
      <c r="AR67" s="13"/>
      <c r="AS67" s="13"/>
      <c r="AT67" s="13"/>
      <c r="AU67" s="13"/>
      <c r="AV67" s="15"/>
      <c r="AW67" s="15"/>
      <c r="AX67" s="14"/>
      <c r="AY67" s="15"/>
      <c r="AZ67" s="15"/>
      <c r="BA67" s="20">
        <f>M67</f>
        <v>76742</v>
      </c>
      <c r="BB67" s="20">
        <f>L67</f>
        <v>76742</v>
      </c>
      <c r="BC67" s="20">
        <f t="shared" si="9"/>
        <v>0</v>
      </c>
      <c r="BD67" s="14">
        <f t="shared" si="10"/>
        <v>0</v>
      </c>
      <c r="BE67" s="20">
        <f>+BB67</f>
        <v>76742</v>
      </c>
      <c r="BF67" s="12"/>
    </row>
    <row r="68" spans="2:58" ht="39" customHeight="1">
      <c r="B68" s="17">
        <v>57</v>
      </c>
      <c r="C68" s="18" t="s">
        <v>177</v>
      </c>
      <c r="D68" s="49" t="s">
        <v>178</v>
      </c>
      <c r="E68" s="50" t="s">
        <v>178</v>
      </c>
      <c r="F68" s="51" t="s">
        <v>178</v>
      </c>
      <c r="G68" s="18" t="s">
        <v>93</v>
      </c>
      <c r="H68" s="18">
        <v>24</v>
      </c>
      <c r="I68" s="18" t="s">
        <v>0</v>
      </c>
      <c r="J68" s="20">
        <v>70750</v>
      </c>
      <c r="K68" s="20"/>
      <c r="L68" s="20">
        <v>70750</v>
      </c>
      <c r="M68" s="20">
        <v>70750</v>
      </c>
      <c r="N68" s="19" t="s">
        <v>240</v>
      </c>
      <c r="O68" s="10"/>
      <c r="P68" s="10"/>
      <c r="Q68" s="10"/>
      <c r="R68" s="10"/>
      <c r="S68" s="20">
        <v>82829</v>
      </c>
      <c r="T68" s="20"/>
      <c r="U68" s="20">
        <v>82829</v>
      </c>
      <c r="V68" s="20">
        <v>1987896</v>
      </c>
      <c r="W68" s="21"/>
      <c r="X68" s="11"/>
      <c r="Y68" s="11"/>
      <c r="Z68" s="11"/>
      <c r="AA68" s="21">
        <v>72255</v>
      </c>
      <c r="AB68" s="21"/>
      <c r="AC68" s="21">
        <v>72255</v>
      </c>
      <c r="AD68" s="21">
        <f t="shared" si="15"/>
        <v>1734120</v>
      </c>
      <c r="AE68" s="11">
        <v>74858</v>
      </c>
      <c r="AF68" s="11"/>
      <c r="AG68" s="11">
        <v>74858</v>
      </c>
      <c r="AH68" s="11">
        <f>H68*AG68</f>
        <v>1796592</v>
      </c>
      <c r="AI68" s="21">
        <v>27234</v>
      </c>
      <c r="AJ68" s="21"/>
      <c r="AK68" s="21">
        <v>27234</v>
      </c>
      <c r="AL68" s="21">
        <v>653616</v>
      </c>
      <c r="AM68" s="20">
        <f t="shared" si="6"/>
        <v>64294</v>
      </c>
      <c r="AN68" s="20">
        <f t="shared" si="7"/>
        <v>73556.5</v>
      </c>
      <c r="AO68" s="20">
        <f t="shared" si="8"/>
        <v>21748.364547707948</v>
      </c>
      <c r="AP68" s="30">
        <f t="shared" si="2"/>
        <v>51808.135452292052</v>
      </c>
      <c r="AQ68" s="30">
        <f t="shared" si="16"/>
        <v>95304.864547707955</v>
      </c>
      <c r="AR68" s="13"/>
      <c r="AS68" s="13"/>
      <c r="AT68" s="13"/>
      <c r="AU68" s="13">
        <f>+(AP68-AK68)/AK68</f>
        <v>0.90233294603407699</v>
      </c>
      <c r="AV68" s="15"/>
      <c r="AW68" s="15"/>
      <c r="AX68" s="14"/>
      <c r="AY68" s="15"/>
      <c r="AZ68" s="15"/>
      <c r="BA68" s="20">
        <f>+AVERAGE(U68,AC68,AG68)</f>
        <v>76647.333333333328</v>
      </c>
      <c r="BB68" s="20">
        <f>+SMALL((U68,AC68,AG68),1)</f>
        <v>72255</v>
      </c>
      <c r="BC68" s="20">
        <f t="shared" si="9"/>
        <v>1505</v>
      </c>
      <c r="BD68" s="14">
        <f t="shared" si="10"/>
        <v>2.1272084805653711E-2</v>
      </c>
      <c r="BE68" s="20">
        <f>+BB68</f>
        <v>72255</v>
      </c>
      <c r="BF68" s="12"/>
    </row>
    <row r="69" spans="2:58" ht="39" customHeight="1">
      <c r="B69" s="17">
        <v>58</v>
      </c>
      <c r="C69" s="18" t="s">
        <v>179</v>
      </c>
      <c r="D69" s="49" t="s">
        <v>180</v>
      </c>
      <c r="E69" s="50" t="s">
        <v>180</v>
      </c>
      <c r="F69" s="51" t="s">
        <v>180</v>
      </c>
      <c r="G69" s="18" t="s">
        <v>181</v>
      </c>
      <c r="H69" s="18">
        <v>4000</v>
      </c>
      <c r="I69" s="18" t="s">
        <v>0</v>
      </c>
      <c r="J69" s="20"/>
      <c r="K69" s="20"/>
      <c r="L69" s="20"/>
      <c r="M69" s="20"/>
      <c r="N69" s="19"/>
      <c r="O69" s="10"/>
      <c r="P69" s="10"/>
      <c r="Q69" s="10"/>
      <c r="R69" s="10"/>
      <c r="S69" s="20"/>
      <c r="T69" s="20"/>
      <c r="U69" s="20"/>
      <c r="V69" s="20"/>
      <c r="W69" s="21"/>
      <c r="X69" s="11"/>
      <c r="Y69" s="11"/>
      <c r="Z69" s="11"/>
      <c r="AA69" s="21">
        <v>27</v>
      </c>
      <c r="AB69" s="21"/>
      <c r="AC69" s="21">
        <v>27</v>
      </c>
      <c r="AD69" s="21">
        <f t="shared" si="15"/>
        <v>108000</v>
      </c>
      <c r="AE69" s="11">
        <v>1606</v>
      </c>
      <c r="AF69" s="11"/>
      <c r="AG69" s="11">
        <v>1606</v>
      </c>
      <c r="AH69" s="11">
        <f>H69*AG69</f>
        <v>6424000</v>
      </c>
      <c r="AI69" s="21"/>
      <c r="AJ69" s="21"/>
      <c r="AK69" s="21"/>
      <c r="AL69" s="21"/>
      <c r="AM69" s="20">
        <f t="shared" si="6"/>
        <v>816.5</v>
      </c>
      <c r="AN69" s="20">
        <f t="shared" si="7"/>
        <v>816.5</v>
      </c>
      <c r="AO69" s="20">
        <f t="shared" si="8"/>
        <v>789.5</v>
      </c>
      <c r="AP69" s="30">
        <f t="shared" si="2"/>
        <v>27</v>
      </c>
      <c r="AQ69" s="30">
        <f t="shared" si="16"/>
        <v>1606</v>
      </c>
      <c r="AR69" s="13"/>
      <c r="AS69" s="13"/>
      <c r="AT69" s="13"/>
      <c r="AU69" s="13"/>
      <c r="AV69" s="15"/>
      <c r="AW69" s="15"/>
      <c r="AX69" s="14"/>
      <c r="AY69" s="15"/>
      <c r="AZ69" s="15"/>
      <c r="BA69" s="20">
        <f>AVERAGE(AC69,AG69)</f>
        <v>816.5</v>
      </c>
      <c r="BB69" s="20">
        <f>SMALL((AC69,AG69),1)</f>
        <v>27</v>
      </c>
      <c r="BC69" s="20"/>
      <c r="BD69" s="14"/>
      <c r="BE69" s="20">
        <f>BA69</f>
        <v>816.5</v>
      </c>
      <c r="BF69" s="12"/>
    </row>
    <row r="70" spans="2:58" ht="100.5" customHeight="1">
      <c r="B70" s="17">
        <v>59</v>
      </c>
      <c r="C70" s="18" t="s">
        <v>182</v>
      </c>
      <c r="D70" s="49" t="s">
        <v>183</v>
      </c>
      <c r="E70" s="50" t="s">
        <v>183</v>
      </c>
      <c r="F70" s="51" t="s">
        <v>183</v>
      </c>
      <c r="G70" s="18" t="s">
        <v>70</v>
      </c>
      <c r="H70" s="18">
        <v>1</v>
      </c>
      <c r="I70" s="18" t="s">
        <v>0</v>
      </c>
      <c r="J70" s="20">
        <v>248724</v>
      </c>
      <c r="K70" s="20"/>
      <c r="L70" s="20">
        <v>248724</v>
      </c>
      <c r="M70" s="20">
        <v>248724</v>
      </c>
      <c r="N70" s="19" t="s">
        <v>240</v>
      </c>
      <c r="O70" s="10"/>
      <c r="P70" s="10"/>
      <c r="Q70" s="10"/>
      <c r="R70" s="10"/>
      <c r="S70" s="20">
        <v>291189</v>
      </c>
      <c r="T70" s="20"/>
      <c r="U70" s="20">
        <v>291189</v>
      </c>
      <c r="V70" s="20">
        <v>291189</v>
      </c>
      <c r="W70" s="21"/>
      <c r="X70" s="11"/>
      <c r="Y70" s="11"/>
      <c r="Z70" s="11"/>
      <c r="AA70" s="21">
        <v>254016</v>
      </c>
      <c r="AB70" s="21"/>
      <c r="AC70" s="21">
        <v>254016</v>
      </c>
      <c r="AD70" s="21">
        <f t="shared" si="15"/>
        <v>254016</v>
      </c>
      <c r="AE70" s="11">
        <v>256858</v>
      </c>
      <c r="AF70" s="11"/>
      <c r="AG70" s="11">
        <v>256858</v>
      </c>
      <c r="AH70" s="11">
        <f>H70*AG70</f>
        <v>256858</v>
      </c>
      <c r="AI70" s="21"/>
      <c r="AJ70" s="21"/>
      <c r="AK70" s="21"/>
      <c r="AL70" s="21"/>
      <c r="AM70" s="20">
        <f t="shared" si="6"/>
        <v>267354.33333333331</v>
      </c>
      <c r="AN70" s="20">
        <f t="shared" si="7"/>
        <v>256858</v>
      </c>
      <c r="AO70" s="20">
        <f t="shared" si="8"/>
        <v>16893.543980533577</v>
      </c>
      <c r="AP70" s="30">
        <f t="shared" si="2"/>
        <v>239964.45601946642</v>
      </c>
      <c r="AQ70" s="30">
        <f t="shared" si="16"/>
        <v>273751.54398053361</v>
      </c>
      <c r="AR70" s="13"/>
      <c r="AS70" s="13"/>
      <c r="AT70" s="13"/>
      <c r="AU70" s="13"/>
      <c r="AV70" s="15"/>
      <c r="AW70" s="15"/>
      <c r="AX70" s="14">
        <f>+(U70-AQ70)/AQ70</f>
        <v>6.3698110213056422E-2</v>
      </c>
      <c r="AY70" s="15"/>
      <c r="AZ70" s="15"/>
      <c r="BA70" s="20">
        <f>+AVERAGE(AC70,AG70)</f>
        <v>255437</v>
      </c>
      <c r="BB70" s="20">
        <f>+SMALL((AC70,AG70),1)</f>
        <v>254016</v>
      </c>
      <c r="BC70" s="20">
        <f t="shared" si="9"/>
        <v>5292</v>
      </c>
      <c r="BD70" s="14">
        <f t="shared" si="10"/>
        <v>2.1276595744680851E-2</v>
      </c>
      <c r="BE70" s="20">
        <f>+BB70</f>
        <v>254016</v>
      </c>
      <c r="BF70" s="12"/>
    </row>
    <row r="71" spans="2:58" ht="50.25" customHeight="1">
      <c r="B71" s="17">
        <v>60</v>
      </c>
      <c r="C71" s="18" t="s">
        <v>184</v>
      </c>
      <c r="D71" s="49" t="s">
        <v>185</v>
      </c>
      <c r="E71" s="50" t="s">
        <v>185</v>
      </c>
      <c r="F71" s="51" t="s">
        <v>185</v>
      </c>
      <c r="G71" s="18" t="s">
        <v>85</v>
      </c>
      <c r="H71" s="18">
        <v>30</v>
      </c>
      <c r="I71" s="18" t="s">
        <v>0</v>
      </c>
      <c r="J71" s="20">
        <v>51853</v>
      </c>
      <c r="K71" s="20"/>
      <c r="L71" s="20">
        <v>51853</v>
      </c>
      <c r="M71" s="20">
        <v>51853</v>
      </c>
      <c r="N71" s="19" t="s">
        <v>240</v>
      </c>
      <c r="O71" s="10"/>
      <c r="P71" s="10"/>
      <c r="Q71" s="10"/>
      <c r="R71" s="10"/>
      <c r="S71" s="20">
        <v>65037</v>
      </c>
      <c r="T71" s="20"/>
      <c r="U71" s="20">
        <v>65037</v>
      </c>
      <c r="V71" s="20">
        <v>1951110</v>
      </c>
      <c r="W71" s="11">
        <v>211.90476190476193</v>
      </c>
      <c r="X71" s="11"/>
      <c r="Y71" s="11">
        <f t="shared" si="5"/>
        <v>211.90476190476193</v>
      </c>
      <c r="Z71" s="11">
        <f>H71*Y71</f>
        <v>6357.1428571428578</v>
      </c>
      <c r="AA71" s="21">
        <v>48938</v>
      </c>
      <c r="AB71" s="21"/>
      <c r="AC71" s="21">
        <v>48938</v>
      </c>
      <c r="AD71" s="21">
        <f t="shared" si="15"/>
        <v>1468140</v>
      </c>
      <c r="AE71" s="11">
        <v>51411</v>
      </c>
      <c r="AF71" s="11"/>
      <c r="AG71" s="11">
        <v>51411</v>
      </c>
      <c r="AH71" s="11">
        <f>H71*AG71</f>
        <v>1542330</v>
      </c>
      <c r="AI71" s="21"/>
      <c r="AJ71" s="21"/>
      <c r="AK71" s="21"/>
      <c r="AL71" s="21"/>
      <c r="AM71" s="20">
        <f t="shared" si="6"/>
        <v>41399.476190476191</v>
      </c>
      <c r="AN71" s="20">
        <f t="shared" si="7"/>
        <v>50174.5</v>
      </c>
      <c r="AO71" s="20">
        <f t="shared" si="8"/>
        <v>24557.11975296013</v>
      </c>
      <c r="AP71" s="30">
        <f t="shared" si="2"/>
        <v>25617.38024703987</v>
      </c>
      <c r="AQ71" s="30">
        <f t="shared" si="16"/>
        <v>74731.619752960134</v>
      </c>
      <c r="AR71" s="13"/>
      <c r="AS71" s="13">
        <f>+(AP71-Y71)/Y71</f>
        <v>119.89100790737915</v>
      </c>
      <c r="AT71" s="13"/>
      <c r="AU71" s="13"/>
      <c r="AV71" s="15"/>
      <c r="AW71" s="15"/>
      <c r="AX71" s="14"/>
      <c r="AY71" s="15"/>
      <c r="AZ71" s="15"/>
      <c r="BA71" s="20">
        <f>+AVERAGE(U71,AC71,AG71)</f>
        <v>55128.666666666664</v>
      </c>
      <c r="BB71" s="20">
        <f>+SMALL((U71,AC71,AG71),1)</f>
        <v>48938</v>
      </c>
      <c r="BC71" s="20">
        <f t="shared" si="9"/>
        <v>-2915</v>
      </c>
      <c r="BD71" s="14">
        <f t="shared" si="10"/>
        <v>-5.6216612346440903E-2</v>
      </c>
      <c r="BE71" s="20">
        <f>M71</f>
        <v>51853</v>
      </c>
      <c r="BF71" s="12"/>
    </row>
    <row r="72" spans="2:58" ht="51.75" customHeight="1">
      <c r="B72" s="17">
        <v>61</v>
      </c>
      <c r="C72" s="18" t="s">
        <v>186</v>
      </c>
      <c r="D72" s="49" t="s">
        <v>187</v>
      </c>
      <c r="E72" s="50" t="s">
        <v>187</v>
      </c>
      <c r="F72" s="51" t="s">
        <v>187</v>
      </c>
      <c r="G72" s="18" t="s">
        <v>85</v>
      </c>
      <c r="H72" s="18">
        <v>30</v>
      </c>
      <c r="I72" s="18" t="s">
        <v>0</v>
      </c>
      <c r="J72" s="20"/>
      <c r="K72" s="20"/>
      <c r="L72" s="20"/>
      <c r="M72" s="20"/>
      <c r="N72" s="19"/>
      <c r="O72" s="10"/>
      <c r="P72" s="10"/>
      <c r="Q72" s="10"/>
      <c r="R72" s="10"/>
      <c r="S72" s="20">
        <v>26366</v>
      </c>
      <c r="T72" s="20"/>
      <c r="U72" s="20">
        <v>26366</v>
      </c>
      <c r="V72" s="20">
        <v>790980</v>
      </c>
      <c r="W72" s="21"/>
      <c r="X72" s="11"/>
      <c r="Y72" s="11"/>
      <c r="Z72" s="11"/>
      <c r="AA72" s="21">
        <v>23077</v>
      </c>
      <c r="AB72" s="21"/>
      <c r="AC72" s="21">
        <v>23077</v>
      </c>
      <c r="AD72" s="21">
        <f t="shared" si="15"/>
        <v>692310</v>
      </c>
      <c r="AE72" s="11"/>
      <c r="AF72" s="11"/>
      <c r="AG72" s="11"/>
      <c r="AH72" s="11"/>
      <c r="AI72" s="21"/>
      <c r="AJ72" s="21"/>
      <c r="AK72" s="21"/>
      <c r="AL72" s="21"/>
      <c r="AM72" s="20">
        <f t="shared" si="6"/>
        <v>24721.5</v>
      </c>
      <c r="AN72" s="20">
        <f t="shared" si="7"/>
        <v>24721.5</v>
      </c>
      <c r="AO72" s="20">
        <f t="shared" si="8"/>
        <v>1644.5</v>
      </c>
      <c r="AP72" s="30">
        <f t="shared" si="2"/>
        <v>23077</v>
      </c>
      <c r="AQ72" s="30">
        <f t="shared" si="16"/>
        <v>26366</v>
      </c>
      <c r="AR72" s="13"/>
      <c r="AS72" s="13"/>
      <c r="AT72" s="13"/>
      <c r="AU72" s="13"/>
      <c r="AV72" s="15"/>
      <c r="AW72" s="15"/>
      <c r="AX72" s="14"/>
      <c r="AY72" s="15"/>
      <c r="AZ72" s="15"/>
      <c r="BA72" s="20">
        <f>AVERAGE(U72,AC72)</f>
        <v>24721.5</v>
      </c>
      <c r="BB72" s="20">
        <f>SMALL((U72,AC72),1)</f>
        <v>23077</v>
      </c>
      <c r="BC72" s="20"/>
      <c r="BD72" s="14"/>
      <c r="BE72" s="20">
        <f>+BB72</f>
        <v>23077</v>
      </c>
      <c r="BF72" s="12"/>
    </row>
    <row r="73" spans="2:58" ht="55.5" customHeight="1">
      <c r="B73" s="17">
        <v>62</v>
      </c>
      <c r="C73" s="18" t="s">
        <v>188</v>
      </c>
      <c r="D73" s="49" t="s">
        <v>189</v>
      </c>
      <c r="E73" s="50" t="s">
        <v>189</v>
      </c>
      <c r="F73" s="51" t="s">
        <v>189</v>
      </c>
      <c r="G73" s="18" t="s">
        <v>14</v>
      </c>
      <c r="H73" s="18">
        <v>30</v>
      </c>
      <c r="I73" s="18" t="s">
        <v>0</v>
      </c>
      <c r="J73" s="20">
        <v>11085</v>
      </c>
      <c r="K73" s="20"/>
      <c r="L73" s="20">
        <v>11085</v>
      </c>
      <c r="M73" s="20">
        <v>11085</v>
      </c>
      <c r="N73" s="19" t="s">
        <v>240</v>
      </c>
      <c r="O73" s="10"/>
      <c r="P73" s="10"/>
      <c r="Q73" s="10"/>
      <c r="R73" s="10"/>
      <c r="S73" s="20">
        <v>11623</v>
      </c>
      <c r="T73" s="20"/>
      <c r="U73" s="20">
        <v>11623</v>
      </c>
      <c r="V73" s="20">
        <v>348690</v>
      </c>
      <c r="W73" s="11">
        <v>12140.476190476191</v>
      </c>
      <c r="X73" s="11"/>
      <c r="Y73" s="11">
        <f t="shared" si="5"/>
        <v>12140.476190476191</v>
      </c>
      <c r="Z73" s="11">
        <f>H73*Y73</f>
        <v>364214.28571428574</v>
      </c>
      <c r="AA73" s="21">
        <v>10474</v>
      </c>
      <c r="AB73" s="21"/>
      <c r="AC73" s="21">
        <v>10474</v>
      </c>
      <c r="AD73" s="21">
        <f t="shared" si="15"/>
        <v>314220</v>
      </c>
      <c r="AE73" s="11"/>
      <c r="AF73" s="11"/>
      <c r="AG73" s="11"/>
      <c r="AH73" s="11"/>
      <c r="AI73" s="21"/>
      <c r="AJ73" s="21"/>
      <c r="AK73" s="21"/>
      <c r="AL73" s="21"/>
      <c r="AM73" s="20">
        <f t="shared" si="6"/>
        <v>11412.492063492064</v>
      </c>
      <c r="AN73" s="20">
        <f t="shared" si="7"/>
        <v>11623</v>
      </c>
      <c r="AO73" s="20">
        <f t="shared" si="8"/>
        <v>696.42942540534636</v>
      </c>
      <c r="AP73" s="30">
        <f t="shared" si="2"/>
        <v>10926.570574594654</v>
      </c>
      <c r="AQ73" s="30">
        <f t="shared" si="16"/>
        <v>12319.429425405346</v>
      </c>
      <c r="AR73" s="13"/>
      <c r="AS73" s="13"/>
      <c r="AT73" s="13">
        <f>+(AP73-AC73)/AC73</f>
        <v>4.3208953083316244E-2</v>
      </c>
      <c r="AU73" s="13"/>
      <c r="AV73" s="15"/>
      <c r="AW73" s="15"/>
      <c r="AX73" s="14"/>
      <c r="AY73" s="15"/>
      <c r="AZ73" s="15"/>
      <c r="BA73" s="20">
        <f>+AVERAGE(U73,AC73)</f>
        <v>11048.5</v>
      </c>
      <c r="BB73" s="20">
        <f>+SMALL((U73,AC73),1)</f>
        <v>10474</v>
      </c>
      <c r="BC73" s="20">
        <f t="shared" si="9"/>
        <v>-611</v>
      </c>
      <c r="BD73" s="14">
        <f t="shared" si="10"/>
        <v>-5.5119530897609383E-2</v>
      </c>
      <c r="BE73" s="20">
        <f>M73</f>
        <v>11085</v>
      </c>
      <c r="BF73" s="12"/>
    </row>
    <row r="74" spans="2:58" ht="57" customHeight="1">
      <c r="B74" s="17">
        <v>63</v>
      </c>
      <c r="C74" s="18" t="s">
        <v>190</v>
      </c>
      <c r="D74" s="49" t="s">
        <v>191</v>
      </c>
      <c r="E74" s="50" t="s">
        <v>191</v>
      </c>
      <c r="F74" s="51" t="s">
        <v>191</v>
      </c>
      <c r="G74" s="18" t="s">
        <v>192</v>
      </c>
      <c r="H74" s="18">
        <v>30</v>
      </c>
      <c r="I74" s="18" t="s">
        <v>0</v>
      </c>
      <c r="J74" s="20"/>
      <c r="K74" s="20"/>
      <c r="L74" s="20"/>
      <c r="M74" s="20"/>
      <c r="N74" s="19"/>
      <c r="O74" s="10"/>
      <c r="P74" s="10"/>
      <c r="Q74" s="10"/>
      <c r="R74" s="10"/>
      <c r="S74" s="20">
        <v>26366</v>
      </c>
      <c r="T74" s="20"/>
      <c r="U74" s="20">
        <v>26366</v>
      </c>
      <c r="V74" s="20">
        <v>790980</v>
      </c>
      <c r="W74" s="21"/>
      <c r="X74" s="11"/>
      <c r="Y74" s="11"/>
      <c r="Z74" s="11"/>
      <c r="AA74" s="21">
        <v>49985</v>
      </c>
      <c r="AB74" s="21"/>
      <c r="AC74" s="21">
        <v>49985</v>
      </c>
      <c r="AD74" s="21">
        <f t="shared" si="15"/>
        <v>1499550</v>
      </c>
      <c r="AE74" s="11"/>
      <c r="AF74" s="11"/>
      <c r="AG74" s="11"/>
      <c r="AH74" s="11"/>
      <c r="AI74" s="21"/>
      <c r="AJ74" s="21"/>
      <c r="AK74" s="21"/>
      <c r="AL74" s="21"/>
      <c r="AM74" s="20">
        <f t="shared" si="6"/>
        <v>38175.5</v>
      </c>
      <c r="AN74" s="20">
        <f t="shared" si="7"/>
        <v>38175.5</v>
      </c>
      <c r="AO74" s="20">
        <f t="shared" si="8"/>
        <v>11809.5</v>
      </c>
      <c r="AP74" s="30">
        <f t="shared" si="2"/>
        <v>26366</v>
      </c>
      <c r="AQ74" s="30">
        <f t="shared" si="16"/>
        <v>49985</v>
      </c>
      <c r="AR74" s="13"/>
      <c r="AS74" s="13"/>
      <c r="AT74" s="13"/>
      <c r="AU74" s="13"/>
      <c r="AV74" s="15"/>
      <c r="AW74" s="15"/>
      <c r="AX74" s="14"/>
      <c r="AY74" s="15"/>
      <c r="AZ74" s="15"/>
      <c r="BA74" s="20">
        <f>AVERAGE(U74,AC74)</f>
        <v>38175.5</v>
      </c>
      <c r="BB74" s="20">
        <f>SMALL((U74,AC74),1)</f>
        <v>26366</v>
      </c>
      <c r="BC74" s="20"/>
      <c r="BD74" s="14"/>
      <c r="BE74" s="20">
        <f>BA74</f>
        <v>38175.5</v>
      </c>
      <c r="BF74" s="12"/>
    </row>
    <row r="75" spans="2:58" ht="57" customHeight="1">
      <c r="B75" s="17">
        <v>64</v>
      </c>
      <c r="C75" s="18" t="s">
        <v>193</v>
      </c>
      <c r="D75" s="49" t="s">
        <v>194</v>
      </c>
      <c r="E75" s="50" t="s">
        <v>194</v>
      </c>
      <c r="F75" s="51" t="s">
        <v>194</v>
      </c>
      <c r="G75" s="18" t="s">
        <v>195</v>
      </c>
      <c r="H75" s="18">
        <v>12</v>
      </c>
      <c r="I75" s="18" t="s">
        <v>0</v>
      </c>
      <c r="J75" s="20">
        <v>246048</v>
      </c>
      <c r="K75" s="20"/>
      <c r="L75" s="20">
        <v>246048</v>
      </c>
      <c r="M75" s="20">
        <v>246048</v>
      </c>
      <c r="N75" s="19" t="s">
        <v>240</v>
      </c>
      <c r="O75" s="10"/>
      <c r="P75" s="10"/>
      <c r="Q75" s="10"/>
      <c r="R75" s="10"/>
      <c r="S75" s="20">
        <v>268063</v>
      </c>
      <c r="T75" s="20"/>
      <c r="U75" s="20">
        <v>268063</v>
      </c>
      <c r="V75" s="20">
        <v>3216756</v>
      </c>
      <c r="W75" s="11">
        <v>261680.9523809524</v>
      </c>
      <c r="X75" s="11"/>
      <c r="Y75" s="11">
        <f t="shared" si="5"/>
        <v>261680.9523809524</v>
      </c>
      <c r="Z75" s="11">
        <f>H75*Y75</f>
        <v>3140171.4285714286</v>
      </c>
      <c r="AA75" s="21">
        <v>241552</v>
      </c>
      <c r="AB75" s="21"/>
      <c r="AC75" s="21">
        <v>241552</v>
      </c>
      <c r="AD75" s="21">
        <f t="shared" si="15"/>
        <v>2898624</v>
      </c>
      <c r="AE75" s="11">
        <v>252691</v>
      </c>
      <c r="AF75" s="11"/>
      <c r="AG75" s="11">
        <v>252691</v>
      </c>
      <c r="AH75" s="11">
        <f t="shared" ref="AH75:AH86" si="18">H75*AG75</f>
        <v>3032292</v>
      </c>
      <c r="AI75" s="21"/>
      <c r="AJ75" s="21"/>
      <c r="AK75" s="21"/>
      <c r="AL75" s="21"/>
      <c r="AM75" s="20">
        <f t="shared" si="6"/>
        <v>255996.73809523811</v>
      </c>
      <c r="AN75" s="20">
        <f t="shared" si="7"/>
        <v>257185.97619047621</v>
      </c>
      <c r="AO75" s="20">
        <f t="shared" si="8"/>
        <v>9968.4920047437208</v>
      </c>
      <c r="AP75" s="30">
        <f t="shared" si="2"/>
        <v>247217.48418573249</v>
      </c>
      <c r="AQ75" s="30">
        <f t="shared" si="16"/>
        <v>267154.46819521993</v>
      </c>
      <c r="AR75" s="13"/>
      <c r="AS75" s="13"/>
      <c r="AT75" s="13">
        <f>+(AP75-AC75)/AC75</f>
        <v>2.3454511598879305E-2</v>
      </c>
      <c r="AU75" s="13"/>
      <c r="AV75" s="15"/>
      <c r="AW75" s="15"/>
      <c r="AX75" s="28">
        <f>+(U75-AQ75)/AQ75</f>
        <v>3.4007733837196001E-3</v>
      </c>
      <c r="AY75" s="15"/>
      <c r="AZ75" s="15"/>
      <c r="BA75" s="20">
        <f>+AVERAGE(Y75,AG75)</f>
        <v>257185.97619047621</v>
      </c>
      <c r="BB75" s="20">
        <f>+SMALL((Y75,AG75),1)</f>
        <v>252691</v>
      </c>
      <c r="BC75" s="20">
        <f t="shared" si="9"/>
        <v>6643</v>
      </c>
      <c r="BD75" s="14">
        <f t="shared" si="10"/>
        <v>2.6998796982702564E-2</v>
      </c>
      <c r="BE75" s="20">
        <f t="shared" ref="BE75:BE81" si="19">+BB75</f>
        <v>252691</v>
      </c>
      <c r="BF75" s="12"/>
    </row>
    <row r="76" spans="2:58" ht="159.75" customHeight="1">
      <c r="B76" s="17">
        <v>65</v>
      </c>
      <c r="C76" s="18" t="s">
        <v>196</v>
      </c>
      <c r="D76" s="49" t="s">
        <v>197</v>
      </c>
      <c r="E76" s="50" t="s">
        <v>197</v>
      </c>
      <c r="F76" s="51" t="s">
        <v>197</v>
      </c>
      <c r="G76" s="18" t="s">
        <v>198</v>
      </c>
      <c r="H76" s="18">
        <v>60</v>
      </c>
      <c r="I76" s="18" t="s">
        <v>0</v>
      </c>
      <c r="J76" s="20">
        <v>12393</v>
      </c>
      <c r="K76" s="20"/>
      <c r="L76" s="20">
        <v>12393</v>
      </c>
      <c r="M76" s="20">
        <v>12393</v>
      </c>
      <c r="N76" s="19" t="s">
        <v>240</v>
      </c>
      <c r="O76" s="10"/>
      <c r="P76" s="10"/>
      <c r="Q76" s="10"/>
      <c r="R76" s="10"/>
      <c r="S76" s="20">
        <v>73687</v>
      </c>
      <c r="T76" s="20"/>
      <c r="U76" s="20">
        <v>73687</v>
      </c>
      <c r="V76" s="20">
        <v>4421220</v>
      </c>
      <c r="W76" s="21"/>
      <c r="X76" s="11"/>
      <c r="Y76" s="11"/>
      <c r="Z76" s="11"/>
      <c r="AA76" s="21">
        <v>12393</v>
      </c>
      <c r="AB76" s="21"/>
      <c r="AC76" s="21">
        <v>12393</v>
      </c>
      <c r="AD76" s="21">
        <f t="shared" ref="AD76:AD83" si="20">H76*AC76</f>
        <v>743580</v>
      </c>
      <c r="AE76" s="11">
        <v>15858</v>
      </c>
      <c r="AF76" s="11"/>
      <c r="AG76" s="11">
        <v>15858</v>
      </c>
      <c r="AH76" s="11">
        <f t="shared" si="18"/>
        <v>951480</v>
      </c>
      <c r="AI76" s="21"/>
      <c r="AJ76" s="21"/>
      <c r="AK76" s="21"/>
      <c r="AL76" s="21"/>
      <c r="AM76" s="20">
        <f t="shared" si="6"/>
        <v>33979.333333333336</v>
      </c>
      <c r="AN76" s="20">
        <f t="shared" si="7"/>
        <v>15858</v>
      </c>
      <c r="AO76" s="20">
        <f t="shared" si="8"/>
        <v>28113.171887134253</v>
      </c>
      <c r="AP76" s="30">
        <f t="shared" ref="AP76:AP87" si="21">AN76-AO76</f>
        <v>-12255.171887134253</v>
      </c>
      <c r="AQ76" s="30">
        <f t="shared" ref="AQ76:AQ88" si="22">AN76+AO76</f>
        <v>43971.171887134253</v>
      </c>
      <c r="AR76" s="13"/>
      <c r="AS76" s="13"/>
      <c r="AT76" s="13"/>
      <c r="AU76" s="13"/>
      <c r="AV76" s="15"/>
      <c r="AW76" s="15"/>
      <c r="AX76" s="28">
        <f>+(U76-AQ76)/AQ76</f>
        <v>0.6758025050853933</v>
      </c>
      <c r="AY76" s="15"/>
      <c r="AZ76" s="15"/>
      <c r="BA76" s="20">
        <f>AVERAGE(AC76,AG76)</f>
        <v>14125.5</v>
      </c>
      <c r="BB76" s="20">
        <f>SMALL((AC76,AG76),1)</f>
        <v>12393</v>
      </c>
      <c r="BC76" s="20">
        <f t="shared" si="9"/>
        <v>0</v>
      </c>
      <c r="BD76" s="14">
        <f t="shared" si="10"/>
        <v>0</v>
      </c>
      <c r="BE76" s="20">
        <f t="shared" si="19"/>
        <v>12393</v>
      </c>
      <c r="BF76" s="12"/>
    </row>
    <row r="77" spans="2:58" ht="54.75" customHeight="1">
      <c r="B77" s="17">
        <v>66</v>
      </c>
      <c r="C77" s="18" t="s">
        <v>164</v>
      </c>
      <c r="D77" s="49" t="s">
        <v>199</v>
      </c>
      <c r="E77" s="50" t="s">
        <v>199</v>
      </c>
      <c r="F77" s="51" t="s">
        <v>199</v>
      </c>
      <c r="G77" s="18" t="s">
        <v>14</v>
      </c>
      <c r="H77" s="18">
        <v>24</v>
      </c>
      <c r="I77" s="18" t="s">
        <v>0</v>
      </c>
      <c r="J77" s="20">
        <v>8845</v>
      </c>
      <c r="K77" s="20"/>
      <c r="L77" s="20">
        <v>8845</v>
      </c>
      <c r="M77" s="20">
        <v>8845</v>
      </c>
      <c r="N77" s="19" t="s">
        <v>240</v>
      </c>
      <c r="O77" s="10"/>
      <c r="P77" s="10"/>
      <c r="Q77" s="10"/>
      <c r="R77" s="10"/>
      <c r="S77" s="20">
        <v>11546</v>
      </c>
      <c r="T77" s="20"/>
      <c r="U77" s="20">
        <v>11546</v>
      </c>
      <c r="V77" s="20">
        <v>277104</v>
      </c>
      <c r="W77" s="11">
        <v>11000</v>
      </c>
      <c r="X77" s="11"/>
      <c r="Y77" s="11">
        <f t="shared" ref="Y77:Y87" si="23">+W77+X77</f>
        <v>11000</v>
      </c>
      <c r="Z77" s="11">
        <f>H77*Y77</f>
        <v>264000</v>
      </c>
      <c r="AA77" s="21">
        <v>8942</v>
      </c>
      <c r="AB77" s="21"/>
      <c r="AC77" s="21">
        <v>8942</v>
      </c>
      <c r="AD77" s="21">
        <f t="shared" si="20"/>
        <v>214608</v>
      </c>
      <c r="AE77" s="11">
        <v>9858</v>
      </c>
      <c r="AF77" s="11"/>
      <c r="AG77" s="11">
        <v>9858</v>
      </c>
      <c r="AH77" s="11">
        <f t="shared" si="18"/>
        <v>236592</v>
      </c>
      <c r="AI77" s="21"/>
      <c r="AJ77" s="21"/>
      <c r="AK77" s="21"/>
      <c r="AL77" s="21"/>
      <c r="AM77" s="20">
        <f t="shared" ref="AM77:AM88" si="24">+AVERAGE(Q77,U77,Y77,AC77,AG77,AK77)</f>
        <v>10336.5</v>
      </c>
      <c r="AN77" s="20">
        <f t="shared" ref="AN77:AN88" si="25">MEDIAN(Q77,U77,Y77,AC77,AG77,AK77)</f>
        <v>10429</v>
      </c>
      <c r="AO77" s="20">
        <f t="shared" ref="AO77:AO87" si="26">_xlfn.STDEV.P(Q77,U77,Y77,AC77,AG77,AK77)</f>
        <v>1009.5438326293713</v>
      </c>
      <c r="AP77" s="30">
        <f t="shared" si="21"/>
        <v>9419.4561673706285</v>
      </c>
      <c r="AQ77" s="30">
        <f t="shared" si="22"/>
        <v>11438.543832629372</v>
      </c>
      <c r="AR77" s="13"/>
      <c r="AS77" s="13"/>
      <c r="AT77" s="13">
        <f>+(AP77-AC77)/AC77</f>
        <v>5.3394784988887105E-2</v>
      </c>
      <c r="AU77" s="13"/>
      <c r="AV77" s="15"/>
      <c r="AW77" s="15"/>
      <c r="AX77" s="14">
        <f>+(U77-AQ77)/AQ77</f>
        <v>9.3942173884145157E-3</v>
      </c>
      <c r="AY77" s="15"/>
      <c r="AZ77" s="15"/>
      <c r="BA77" s="20">
        <f>+AVERAGE(Y77,AG77)</f>
        <v>10429</v>
      </c>
      <c r="BB77" s="20">
        <f>+SMALL((Y77,AG77),1)</f>
        <v>9858</v>
      </c>
      <c r="BC77" s="20">
        <f t="shared" ref="BC77:BC86" si="27">BB77-M77</f>
        <v>1013</v>
      </c>
      <c r="BD77" s="14">
        <f t="shared" ref="BD77:BD86" si="28">(BB77-M77)/M77</f>
        <v>0.114527981910684</v>
      </c>
      <c r="BE77" s="20">
        <f t="shared" si="19"/>
        <v>9858</v>
      </c>
      <c r="BF77" s="12"/>
    </row>
    <row r="78" spans="2:58" ht="45" customHeight="1">
      <c r="B78" s="17">
        <v>67</v>
      </c>
      <c r="C78" s="18" t="s">
        <v>200</v>
      </c>
      <c r="D78" s="49" t="s">
        <v>201</v>
      </c>
      <c r="E78" s="50" t="s">
        <v>201</v>
      </c>
      <c r="F78" s="51" t="s">
        <v>201</v>
      </c>
      <c r="G78" s="18" t="s">
        <v>14</v>
      </c>
      <c r="H78" s="18">
        <v>24</v>
      </c>
      <c r="I78" s="18" t="s">
        <v>0</v>
      </c>
      <c r="J78" s="20">
        <v>10586</v>
      </c>
      <c r="K78" s="20"/>
      <c r="L78" s="20">
        <v>10586</v>
      </c>
      <c r="M78" s="20">
        <v>10586</v>
      </c>
      <c r="N78" s="19" t="s">
        <v>239</v>
      </c>
      <c r="O78" s="10"/>
      <c r="P78" s="10"/>
      <c r="Q78" s="10"/>
      <c r="R78" s="10"/>
      <c r="S78" s="20">
        <v>10846</v>
      </c>
      <c r="T78" s="20"/>
      <c r="U78" s="20">
        <v>10846</v>
      </c>
      <c r="V78" s="20">
        <v>260304</v>
      </c>
      <c r="W78" s="21"/>
      <c r="X78" s="11"/>
      <c r="Y78" s="11"/>
      <c r="Z78" s="11"/>
      <c r="AA78" s="21">
        <v>14363</v>
      </c>
      <c r="AB78" s="21"/>
      <c r="AC78" s="21">
        <v>14363</v>
      </c>
      <c r="AD78" s="21">
        <f t="shared" si="20"/>
        <v>344712</v>
      </c>
      <c r="AE78" s="11">
        <v>11756</v>
      </c>
      <c r="AF78" s="11"/>
      <c r="AG78" s="11">
        <v>11756</v>
      </c>
      <c r="AH78" s="11">
        <f t="shared" si="18"/>
        <v>282144</v>
      </c>
      <c r="AI78" s="21"/>
      <c r="AJ78" s="21"/>
      <c r="AK78" s="21"/>
      <c r="AL78" s="21"/>
      <c r="AM78" s="20">
        <f t="shared" si="24"/>
        <v>12321.666666666666</v>
      </c>
      <c r="AN78" s="20">
        <f t="shared" si="25"/>
        <v>11756</v>
      </c>
      <c r="AO78" s="20">
        <f t="shared" si="26"/>
        <v>1490.482323127502</v>
      </c>
      <c r="AP78" s="30">
        <f t="shared" si="21"/>
        <v>10265.517676872498</v>
      </c>
      <c r="AQ78" s="30">
        <f t="shared" si="22"/>
        <v>13246.482323127502</v>
      </c>
      <c r="AR78" s="13"/>
      <c r="AS78" s="13"/>
      <c r="AT78" s="13"/>
      <c r="AU78" s="13"/>
      <c r="AV78" s="15"/>
      <c r="AW78" s="15"/>
      <c r="AX78" s="14"/>
      <c r="AY78" s="14">
        <f>+(AC78-AQ78)/AQ78</f>
        <v>8.4287862214040776E-2</v>
      </c>
      <c r="AZ78" s="15"/>
      <c r="BA78" s="20">
        <f>+AVERAGE(U78,AG78)</f>
        <v>11301</v>
      </c>
      <c r="BB78" s="20">
        <f>+SMALL((U78,AG78),1)</f>
        <v>10846</v>
      </c>
      <c r="BC78" s="20">
        <f t="shared" si="27"/>
        <v>260</v>
      </c>
      <c r="BD78" s="14">
        <f t="shared" si="28"/>
        <v>2.4560740600793499E-2</v>
      </c>
      <c r="BE78" s="20">
        <f t="shared" si="19"/>
        <v>10846</v>
      </c>
      <c r="BF78" s="12"/>
    </row>
    <row r="79" spans="2:58" ht="57" customHeight="1">
      <c r="B79" s="17">
        <v>68</v>
      </c>
      <c r="C79" s="18" t="s">
        <v>202</v>
      </c>
      <c r="D79" s="49" t="s">
        <v>203</v>
      </c>
      <c r="E79" s="50" t="s">
        <v>203</v>
      </c>
      <c r="F79" s="51" t="s">
        <v>203</v>
      </c>
      <c r="G79" s="18" t="s">
        <v>14</v>
      </c>
      <c r="H79" s="18">
        <v>20</v>
      </c>
      <c r="I79" s="18" t="s">
        <v>0</v>
      </c>
      <c r="J79" s="20">
        <v>60477</v>
      </c>
      <c r="K79" s="20"/>
      <c r="L79" s="20">
        <v>60477</v>
      </c>
      <c r="M79" s="20">
        <v>60477</v>
      </c>
      <c r="N79" s="19" t="s">
        <v>237</v>
      </c>
      <c r="O79" s="10"/>
      <c r="P79" s="10"/>
      <c r="Q79" s="10"/>
      <c r="R79" s="10"/>
      <c r="S79" s="20"/>
      <c r="T79" s="20"/>
      <c r="U79" s="20"/>
      <c r="V79" s="20"/>
      <c r="W79" s="11">
        <v>74090.476190476198</v>
      </c>
      <c r="X79" s="11"/>
      <c r="Y79" s="11">
        <f t="shared" si="23"/>
        <v>74090.476190476198</v>
      </c>
      <c r="Z79" s="11">
        <f>H79*Y79</f>
        <v>1481809.523809524</v>
      </c>
      <c r="AA79" s="21">
        <v>75955</v>
      </c>
      <c r="AB79" s="21"/>
      <c r="AC79" s="21">
        <v>75955</v>
      </c>
      <c r="AD79" s="21">
        <f t="shared" si="20"/>
        <v>1519100</v>
      </c>
      <c r="AE79" s="11">
        <v>95691</v>
      </c>
      <c r="AF79" s="11"/>
      <c r="AG79" s="11">
        <v>95691</v>
      </c>
      <c r="AH79" s="11">
        <f t="shared" si="18"/>
        <v>1913820</v>
      </c>
      <c r="AI79" s="21"/>
      <c r="AJ79" s="21"/>
      <c r="AK79" s="21"/>
      <c r="AL79" s="21"/>
      <c r="AM79" s="20">
        <f t="shared" si="24"/>
        <v>81912.158730158742</v>
      </c>
      <c r="AN79" s="20">
        <f t="shared" si="25"/>
        <v>75955</v>
      </c>
      <c r="AO79" s="20">
        <f t="shared" si="26"/>
        <v>9772.801110349752</v>
      </c>
      <c r="AP79" s="30">
        <f t="shared" si="21"/>
        <v>66182.198889650244</v>
      </c>
      <c r="AQ79" s="30">
        <f t="shared" si="22"/>
        <v>85727.801110349756</v>
      </c>
      <c r="AR79" s="13"/>
      <c r="AS79" s="13"/>
      <c r="AT79" s="13"/>
      <c r="AU79" s="13"/>
      <c r="AV79" s="15"/>
      <c r="AW79" s="15"/>
      <c r="AX79" s="14"/>
      <c r="AY79" s="15"/>
      <c r="AZ79" s="14">
        <f>+(AG79-AQ79)/AQ79</f>
        <v>0.11621899501219571</v>
      </c>
      <c r="BA79" s="20">
        <f>+AVERAGE(Y79,AG79)</f>
        <v>84890.738095238106</v>
      </c>
      <c r="BB79" s="20">
        <f>+SMALL((Y79,AG79),1)</f>
        <v>74090.476190476198</v>
      </c>
      <c r="BC79" s="20">
        <f t="shared" si="27"/>
        <v>13613.476190476198</v>
      </c>
      <c r="BD79" s="14">
        <f t="shared" si="28"/>
        <v>0.22510171123693631</v>
      </c>
      <c r="BE79" s="20">
        <f t="shared" si="19"/>
        <v>74090.476190476198</v>
      </c>
      <c r="BF79" s="12"/>
    </row>
    <row r="80" spans="2:58" ht="54.75" customHeight="1">
      <c r="B80" s="17">
        <v>69</v>
      </c>
      <c r="C80" s="18" t="s">
        <v>204</v>
      </c>
      <c r="D80" s="49" t="s">
        <v>205</v>
      </c>
      <c r="E80" s="50" t="s">
        <v>205</v>
      </c>
      <c r="F80" s="51" t="s">
        <v>205</v>
      </c>
      <c r="G80" s="18" t="s">
        <v>14</v>
      </c>
      <c r="H80" s="18">
        <v>20</v>
      </c>
      <c r="I80" s="18" t="s">
        <v>0</v>
      </c>
      <c r="J80" s="20">
        <v>73869</v>
      </c>
      <c r="K80" s="20"/>
      <c r="L80" s="20">
        <v>73869</v>
      </c>
      <c r="M80" s="20">
        <v>73869</v>
      </c>
      <c r="N80" s="19" t="s">
        <v>237</v>
      </c>
      <c r="O80" s="10"/>
      <c r="P80" s="10"/>
      <c r="Q80" s="10"/>
      <c r="R80" s="10"/>
      <c r="S80" s="20">
        <v>76977</v>
      </c>
      <c r="T80" s="20"/>
      <c r="U80" s="20">
        <v>76977</v>
      </c>
      <c r="V80" s="20">
        <v>1539540</v>
      </c>
      <c r="W80" s="21"/>
      <c r="X80" s="11"/>
      <c r="Y80" s="11"/>
      <c r="Z80" s="11"/>
      <c r="AA80" s="21">
        <v>87684</v>
      </c>
      <c r="AB80" s="21"/>
      <c r="AC80" s="21">
        <v>87684</v>
      </c>
      <c r="AD80" s="21">
        <f t="shared" si="20"/>
        <v>1753680</v>
      </c>
      <c r="AE80" s="11">
        <v>91858</v>
      </c>
      <c r="AF80" s="11"/>
      <c r="AG80" s="11">
        <v>91858</v>
      </c>
      <c r="AH80" s="11">
        <f t="shared" si="18"/>
        <v>1837160</v>
      </c>
      <c r="AI80" s="21"/>
      <c r="AJ80" s="21"/>
      <c r="AK80" s="21"/>
      <c r="AL80" s="21"/>
      <c r="AM80" s="20">
        <f t="shared" si="24"/>
        <v>85506.333333333328</v>
      </c>
      <c r="AN80" s="20">
        <f t="shared" si="25"/>
        <v>87684</v>
      </c>
      <c r="AO80" s="20">
        <f t="shared" si="26"/>
        <v>6267.2542809608594</v>
      </c>
      <c r="AP80" s="30">
        <f t="shared" si="21"/>
        <v>81416.745719039143</v>
      </c>
      <c r="AQ80" s="30">
        <f t="shared" si="22"/>
        <v>93951.254280960857</v>
      </c>
      <c r="AR80" s="13">
        <f>+(AQ80-U80)/U80</f>
        <v>0.2205107276324208</v>
      </c>
      <c r="AS80" s="13"/>
      <c r="AT80" s="13"/>
      <c r="AU80" s="13"/>
      <c r="AV80" s="15"/>
      <c r="AW80" s="15"/>
      <c r="AX80" s="14"/>
      <c r="AY80" s="15"/>
      <c r="AZ80" s="15"/>
      <c r="BA80" s="20">
        <f>+AVERAGE(AC80,AG80)</f>
        <v>89771</v>
      </c>
      <c r="BB80" s="20">
        <f>+SMALL((AC80,AG80),1)</f>
        <v>87684</v>
      </c>
      <c r="BC80" s="20">
        <f t="shared" si="27"/>
        <v>13815</v>
      </c>
      <c r="BD80" s="14">
        <f t="shared" si="28"/>
        <v>0.18702026560532836</v>
      </c>
      <c r="BE80" s="20">
        <f t="shared" si="19"/>
        <v>87684</v>
      </c>
      <c r="BF80" s="12"/>
    </row>
    <row r="81" spans="2:58" ht="112.5" customHeight="1">
      <c r="B81" s="17">
        <v>70</v>
      </c>
      <c r="C81" s="18" t="s">
        <v>206</v>
      </c>
      <c r="D81" s="49" t="s">
        <v>207</v>
      </c>
      <c r="E81" s="50" t="s">
        <v>207</v>
      </c>
      <c r="F81" s="51" t="s">
        <v>207</v>
      </c>
      <c r="G81" s="18" t="s">
        <v>93</v>
      </c>
      <c r="H81" s="18">
        <v>12</v>
      </c>
      <c r="I81" s="18" t="s">
        <v>0</v>
      </c>
      <c r="J81" s="20">
        <v>176042</v>
      </c>
      <c r="K81" s="20"/>
      <c r="L81" s="20">
        <v>176042</v>
      </c>
      <c r="M81" s="20">
        <v>176042</v>
      </c>
      <c r="N81" s="19" t="s">
        <v>240</v>
      </c>
      <c r="O81" s="10"/>
      <c r="P81" s="10"/>
      <c r="Q81" s="10"/>
      <c r="R81" s="10"/>
      <c r="S81" s="20">
        <v>206098</v>
      </c>
      <c r="T81" s="20"/>
      <c r="U81" s="20">
        <v>206098</v>
      </c>
      <c r="V81" s="20">
        <v>2473176</v>
      </c>
      <c r="W81" s="21"/>
      <c r="X81" s="11"/>
      <c r="Y81" s="11"/>
      <c r="Z81" s="11"/>
      <c r="AA81" s="21">
        <v>179787</v>
      </c>
      <c r="AB81" s="21"/>
      <c r="AC81" s="21">
        <v>179787</v>
      </c>
      <c r="AD81" s="21">
        <f t="shared" si="20"/>
        <v>2157444</v>
      </c>
      <c r="AE81" s="11">
        <v>181691</v>
      </c>
      <c r="AF81" s="11"/>
      <c r="AG81" s="11">
        <v>181691</v>
      </c>
      <c r="AH81" s="11">
        <f t="shared" si="18"/>
        <v>2180292</v>
      </c>
      <c r="AI81" s="21"/>
      <c r="AJ81" s="21"/>
      <c r="AK81" s="21"/>
      <c r="AL81" s="21"/>
      <c r="AM81" s="20">
        <f t="shared" si="24"/>
        <v>189192</v>
      </c>
      <c r="AN81" s="20">
        <f t="shared" si="25"/>
        <v>181691</v>
      </c>
      <c r="AO81" s="20">
        <f t="shared" si="26"/>
        <v>11979.59184057064</v>
      </c>
      <c r="AP81" s="30">
        <f t="shared" si="21"/>
        <v>169711.40815942935</v>
      </c>
      <c r="AQ81" s="30">
        <f t="shared" si="22"/>
        <v>193670.59184057065</v>
      </c>
      <c r="AR81" s="13"/>
      <c r="AS81" s="13"/>
      <c r="AT81" s="13"/>
      <c r="AU81" s="13"/>
      <c r="AV81" s="15"/>
      <c r="AW81" s="15"/>
      <c r="AX81" s="14">
        <f>+(U81-AQ81)/AQ81</f>
        <v>6.4167760532582968E-2</v>
      </c>
      <c r="AY81" s="15"/>
      <c r="AZ81" s="15"/>
      <c r="BA81" s="20">
        <f>+AVERAGE(AC81,AG81)</f>
        <v>180739</v>
      </c>
      <c r="BB81" s="20">
        <f>+SMALL((AC81,AG81),1)</f>
        <v>179787</v>
      </c>
      <c r="BC81" s="20">
        <f t="shared" si="27"/>
        <v>3745</v>
      </c>
      <c r="BD81" s="14">
        <f t="shared" si="28"/>
        <v>2.1273332500198815E-2</v>
      </c>
      <c r="BE81" s="20">
        <f t="shared" si="19"/>
        <v>179787</v>
      </c>
      <c r="BF81" s="12"/>
    </row>
    <row r="82" spans="2:58" ht="40.5" customHeight="1">
      <c r="B82" s="17">
        <v>71</v>
      </c>
      <c r="C82" s="18" t="s">
        <v>208</v>
      </c>
      <c r="D82" s="49" t="s">
        <v>209</v>
      </c>
      <c r="E82" s="50" t="s">
        <v>209</v>
      </c>
      <c r="F82" s="51" t="s">
        <v>209</v>
      </c>
      <c r="G82" s="18" t="s">
        <v>210</v>
      </c>
      <c r="H82" s="18">
        <v>96</v>
      </c>
      <c r="I82" s="18" t="s">
        <v>0</v>
      </c>
      <c r="J82" s="20">
        <v>33333</v>
      </c>
      <c r="K82" s="20"/>
      <c r="L82" s="20">
        <v>33333</v>
      </c>
      <c r="M82" s="20">
        <v>33333</v>
      </c>
      <c r="N82" s="19" t="s">
        <v>237</v>
      </c>
      <c r="O82" s="10"/>
      <c r="P82" s="10"/>
      <c r="Q82" s="10"/>
      <c r="R82" s="10"/>
      <c r="S82" s="20"/>
      <c r="T82" s="20"/>
      <c r="U82" s="20"/>
      <c r="V82" s="20"/>
      <c r="W82" s="21"/>
      <c r="X82" s="11"/>
      <c r="Y82" s="11"/>
      <c r="Z82" s="11"/>
      <c r="AA82" s="21">
        <v>30267</v>
      </c>
      <c r="AB82" s="21"/>
      <c r="AC82" s="21">
        <v>30267</v>
      </c>
      <c r="AD82" s="21">
        <f t="shared" si="20"/>
        <v>2905632</v>
      </c>
      <c r="AE82" s="11">
        <v>41902</v>
      </c>
      <c r="AF82" s="11"/>
      <c r="AG82" s="11">
        <v>41902</v>
      </c>
      <c r="AH82" s="11">
        <f t="shared" si="18"/>
        <v>4022592</v>
      </c>
      <c r="AI82" s="21">
        <v>32858</v>
      </c>
      <c r="AJ82" s="21"/>
      <c r="AK82" s="21">
        <v>32858</v>
      </c>
      <c r="AL82" s="21">
        <v>3154368</v>
      </c>
      <c r="AM82" s="20">
        <f t="shared" si="24"/>
        <v>35009</v>
      </c>
      <c r="AN82" s="20">
        <f t="shared" si="25"/>
        <v>32858</v>
      </c>
      <c r="AO82" s="20">
        <f t="shared" si="26"/>
        <v>4987.5449538492048</v>
      </c>
      <c r="AP82" s="30">
        <f t="shared" si="21"/>
        <v>27870.455046150797</v>
      </c>
      <c r="AQ82" s="30">
        <f t="shared" si="22"/>
        <v>37845.544953849203</v>
      </c>
      <c r="AR82" s="13"/>
      <c r="AS82" s="13"/>
      <c r="AT82" s="13"/>
      <c r="AU82" s="13"/>
      <c r="AV82" s="15"/>
      <c r="AW82" s="15"/>
      <c r="AX82" s="14"/>
      <c r="AY82" s="15"/>
      <c r="AZ82" s="14">
        <f>+(AG82-AQ82)/AQ82</f>
        <v>0.10718447973460142</v>
      </c>
      <c r="BA82" s="20">
        <f>+AVERAGE(AC82,AK82)</f>
        <v>31562.5</v>
      </c>
      <c r="BB82" s="20">
        <f>+SMALL((AC82,AK82),1)</f>
        <v>30267</v>
      </c>
      <c r="BC82" s="20">
        <f t="shared" si="27"/>
        <v>-3066</v>
      </c>
      <c r="BD82" s="14">
        <f t="shared" si="28"/>
        <v>-9.1980919809198092E-2</v>
      </c>
      <c r="BE82" s="20">
        <f>M82</f>
        <v>33333</v>
      </c>
      <c r="BF82" s="12"/>
    </row>
    <row r="83" spans="2:58" ht="62.25" customHeight="1">
      <c r="B83" s="17">
        <v>72</v>
      </c>
      <c r="C83" s="18" t="s">
        <v>211</v>
      </c>
      <c r="D83" s="49" t="s">
        <v>212</v>
      </c>
      <c r="E83" s="50" t="s">
        <v>212</v>
      </c>
      <c r="F83" s="51" t="s">
        <v>212</v>
      </c>
      <c r="G83" s="18" t="s">
        <v>213</v>
      </c>
      <c r="H83" s="18">
        <v>24</v>
      </c>
      <c r="I83" s="18" t="s">
        <v>0</v>
      </c>
      <c r="J83" s="20">
        <v>27688</v>
      </c>
      <c r="K83" s="20"/>
      <c r="L83" s="20">
        <v>27688</v>
      </c>
      <c r="M83" s="20">
        <v>27688</v>
      </c>
      <c r="N83" s="19" t="s">
        <v>240</v>
      </c>
      <c r="O83" s="10"/>
      <c r="P83" s="10"/>
      <c r="Q83" s="10"/>
      <c r="R83" s="10"/>
      <c r="S83" s="20">
        <v>76489</v>
      </c>
      <c r="T83" s="20"/>
      <c r="U83" s="20">
        <v>76489</v>
      </c>
      <c r="V83" s="20">
        <v>1835736</v>
      </c>
      <c r="W83" s="21"/>
      <c r="X83" s="11"/>
      <c r="Y83" s="11"/>
      <c r="Z83" s="11"/>
      <c r="AA83" s="21">
        <v>25363</v>
      </c>
      <c r="AB83" s="21"/>
      <c r="AC83" s="21">
        <v>25363</v>
      </c>
      <c r="AD83" s="21">
        <f t="shared" si="20"/>
        <v>608712</v>
      </c>
      <c r="AE83" s="11">
        <v>32654</v>
      </c>
      <c r="AF83" s="11"/>
      <c r="AG83" s="11">
        <v>32654</v>
      </c>
      <c r="AH83" s="11">
        <f t="shared" si="18"/>
        <v>783696</v>
      </c>
      <c r="AI83" s="21">
        <v>61666</v>
      </c>
      <c r="AJ83" s="21"/>
      <c r="AK83" s="21">
        <v>61666</v>
      </c>
      <c r="AL83" s="21">
        <v>1479984</v>
      </c>
      <c r="AM83" s="20">
        <f t="shared" si="24"/>
        <v>49043</v>
      </c>
      <c r="AN83" s="20">
        <f t="shared" si="25"/>
        <v>47160</v>
      </c>
      <c r="AO83" s="20">
        <f t="shared" si="26"/>
        <v>20868.425707273655</v>
      </c>
      <c r="AP83" s="30">
        <f t="shared" si="21"/>
        <v>26291.574292726345</v>
      </c>
      <c r="AQ83" s="30">
        <f t="shared" si="22"/>
        <v>68028.425707273651</v>
      </c>
      <c r="AR83" s="13"/>
      <c r="AS83" s="13"/>
      <c r="AT83" s="13">
        <f>+(AP83-AC83)/AC83</f>
        <v>3.6611374550579404E-2</v>
      </c>
      <c r="AU83" s="13"/>
      <c r="AV83" s="15"/>
      <c r="AW83" s="15"/>
      <c r="AX83" s="14">
        <f>+(U83-AQ83)/AQ83</f>
        <v>0.12436822114820362</v>
      </c>
      <c r="AY83" s="15"/>
      <c r="AZ83" s="15"/>
      <c r="BA83" s="20">
        <f>+AVERAGE(AG83,AK83)</f>
        <v>47160</v>
      </c>
      <c r="BB83" s="20">
        <f>+SMALL((AG83,AK83),1)</f>
        <v>32654</v>
      </c>
      <c r="BC83" s="20">
        <f t="shared" si="27"/>
        <v>4966</v>
      </c>
      <c r="BD83" s="14">
        <f t="shared" si="28"/>
        <v>0.17935567754984108</v>
      </c>
      <c r="BE83" s="20">
        <f>+BB83</f>
        <v>32654</v>
      </c>
      <c r="BF83" s="12"/>
    </row>
    <row r="84" spans="2:58" ht="61.5" customHeight="1">
      <c r="B84" s="17">
        <v>73</v>
      </c>
      <c r="C84" s="18"/>
      <c r="D84" s="49" t="s">
        <v>214</v>
      </c>
      <c r="E84" s="50" t="s">
        <v>214</v>
      </c>
      <c r="F84" s="51" t="s">
        <v>214</v>
      </c>
      <c r="G84" s="18" t="s">
        <v>215</v>
      </c>
      <c r="H84" s="18">
        <v>500</v>
      </c>
      <c r="I84" s="18" t="s">
        <v>0</v>
      </c>
      <c r="J84" s="20">
        <v>1667</v>
      </c>
      <c r="K84" s="20">
        <f>+J84*19%</f>
        <v>316.73</v>
      </c>
      <c r="L84" s="20">
        <f>+J84+K84</f>
        <v>1983.73</v>
      </c>
      <c r="M84" s="20">
        <f>+L84</f>
        <v>1983.73</v>
      </c>
      <c r="N84" s="19" t="s">
        <v>239</v>
      </c>
      <c r="O84" s="10"/>
      <c r="P84" s="10"/>
      <c r="Q84" s="10"/>
      <c r="R84" s="10"/>
      <c r="S84" s="20"/>
      <c r="T84" s="20"/>
      <c r="U84" s="20"/>
      <c r="V84" s="20"/>
      <c r="W84" s="21"/>
      <c r="X84" s="11"/>
      <c r="Y84" s="11"/>
      <c r="Z84" s="11"/>
      <c r="AA84" s="21"/>
      <c r="AB84" s="21"/>
      <c r="AC84" s="21"/>
      <c r="AD84" s="21"/>
      <c r="AE84" s="11">
        <v>389</v>
      </c>
      <c r="AF84" s="11">
        <v>74</v>
      </c>
      <c r="AG84" s="11">
        <v>463</v>
      </c>
      <c r="AH84" s="11">
        <f t="shared" si="18"/>
        <v>231500</v>
      </c>
      <c r="AI84" s="21"/>
      <c r="AJ84" s="21"/>
      <c r="AK84" s="21"/>
      <c r="AL84" s="21"/>
      <c r="AM84" s="20">
        <f t="shared" si="24"/>
        <v>463</v>
      </c>
      <c r="AN84" s="20">
        <f t="shared" si="25"/>
        <v>463</v>
      </c>
      <c r="AO84" s="20"/>
      <c r="AP84" s="30">
        <f t="shared" si="21"/>
        <v>463</v>
      </c>
      <c r="AQ84" s="30">
        <f t="shared" si="22"/>
        <v>463</v>
      </c>
      <c r="AR84" s="13"/>
      <c r="AS84" s="13"/>
      <c r="AT84" s="13"/>
      <c r="AU84" s="13"/>
      <c r="AV84" s="15"/>
      <c r="AW84" s="15"/>
      <c r="AX84" s="14"/>
      <c r="AY84" s="15"/>
      <c r="AZ84" s="15"/>
      <c r="BA84" s="20">
        <f>M84</f>
        <v>1983.73</v>
      </c>
      <c r="BB84" s="20">
        <f>BA84</f>
        <v>1983.73</v>
      </c>
      <c r="BC84" s="20">
        <f t="shared" si="27"/>
        <v>0</v>
      </c>
      <c r="BD84" s="14">
        <f t="shared" si="28"/>
        <v>0</v>
      </c>
      <c r="BE84" s="20">
        <f>+BB84</f>
        <v>1983.73</v>
      </c>
      <c r="BF84" s="12"/>
    </row>
    <row r="85" spans="2:58" ht="99.75" customHeight="1">
      <c r="B85" s="17">
        <v>74</v>
      </c>
      <c r="C85" s="18"/>
      <c r="D85" s="49" t="s">
        <v>216</v>
      </c>
      <c r="E85" s="50" t="s">
        <v>216</v>
      </c>
      <c r="F85" s="51" t="s">
        <v>216</v>
      </c>
      <c r="G85" s="18" t="s">
        <v>217</v>
      </c>
      <c r="H85" s="18">
        <v>24</v>
      </c>
      <c r="I85" s="18" t="s">
        <v>0</v>
      </c>
      <c r="J85" s="20">
        <v>5918</v>
      </c>
      <c r="K85" s="20"/>
      <c r="L85" s="20">
        <v>5918</v>
      </c>
      <c r="M85" s="20">
        <v>5918</v>
      </c>
      <c r="N85" s="19" t="s">
        <v>239</v>
      </c>
      <c r="O85" s="10"/>
      <c r="P85" s="10"/>
      <c r="Q85" s="10"/>
      <c r="R85" s="10"/>
      <c r="S85" s="20"/>
      <c r="T85" s="20"/>
      <c r="U85" s="20"/>
      <c r="V85" s="20"/>
      <c r="W85" s="11">
        <v>11000</v>
      </c>
      <c r="X85" s="11"/>
      <c r="Y85" s="11">
        <f t="shared" si="23"/>
        <v>11000</v>
      </c>
      <c r="Z85" s="11">
        <f>H85*Y85</f>
        <v>264000</v>
      </c>
      <c r="AA85" s="21">
        <v>7158</v>
      </c>
      <c r="AB85" s="21"/>
      <c r="AC85" s="21">
        <v>7158</v>
      </c>
      <c r="AD85" s="21">
        <f>H85*AC85</f>
        <v>171792</v>
      </c>
      <c r="AE85" s="11">
        <v>7158</v>
      </c>
      <c r="AF85" s="11"/>
      <c r="AG85" s="11">
        <v>7158</v>
      </c>
      <c r="AH85" s="11">
        <f t="shared" si="18"/>
        <v>171792</v>
      </c>
      <c r="AI85" s="21"/>
      <c r="AJ85" s="21"/>
      <c r="AK85" s="21"/>
      <c r="AL85" s="21"/>
      <c r="AM85" s="20">
        <f t="shared" si="24"/>
        <v>8438.6666666666661</v>
      </c>
      <c r="AN85" s="20">
        <f t="shared" si="25"/>
        <v>7158</v>
      </c>
      <c r="AO85" s="20">
        <f t="shared" si="26"/>
        <v>1811.1361688791437</v>
      </c>
      <c r="AP85" s="30">
        <f t="shared" si="21"/>
        <v>5346.863831120856</v>
      </c>
      <c r="AQ85" s="30">
        <f t="shared" si="22"/>
        <v>8969.136168879144</v>
      </c>
      <c r="AR85" s="13"/>
      <c r="AS85" s="13"/>
      <c r="AT85" s="13"/>
      <c r="AU85" s="13"/>
      <c r="AV85" s="14">
        <f>+(Y85-AQ85)/AQ85</f>
        <v>0.22642802973239387</v>
      </c>
      <c r="AW85" s="14"/>
      <c r="AX85" s="14"/>
      <c r="AY85" s="15"/>
      <c r="AZ85" s="15"/>
      <c r="BA85" s="20">
        <f>+AVERAGE(AC85,AG85)</f>
        <v>7158</v>
      </c>
      <c r="BB85" s="20">
        <f>+SMALL((AC85,AG85),1)</f>
        <v>7158</v>
      </c>
      <c r="BC85" s="20">
        <f t="shared" si="27"/>
        <v>1240</v>
      </c>
      <c r="BD85" s="14">
        <f t="shared" si="28"/>
        <v>0.20953024670496789</v>
      </c>
      <c r="BE85" s="20">
        <f>+BB85</f>
        <v>7158</v>
      </c>
      <c r="BF85" s="12"/>
    </row>
    <row r="86" spans="2:58" ht="111.75" customHeight="1">
      <c r="B86" s="17">
        <v>75</v>
      </c>
      <c r="C86" s="18" t="s">
        <v>218</v>
      </c>
      <c r="D86" s="49" t="s">
        <v>219</v>
      </c>
      <c r="E86" s="50" t="s">
        <v>219</v>
      </c>
      <c r="F86" s="51" t="s">
        <v>219</v>
      </c>
      <c r="G86" s="18" t="s">
        <v>220</v>
      </c>
      <c r="H86" s="18">
        <v>12</v>
      </c>
      <c r="I86" s="18" t="s">
        <v>0</v>
      </c>
      <c r="J86" s="20">
        <v>54019</v>
      </c>
      <c r="K86" s="20"/>
      <c r="L86" s="20">
        <v>54019</v>
      </c>
      <c r="M86" s="20">
        <v>54019</v>
      </c>
      <c r="N86" s="19" t="s">
        <v>236</v>
      </c>
      <c r="O86" s="10"/>
      <c r="P86" s="10"/>
      <c r="Q86" s="10"/>
      <c r="R86" s="10"/>
      <c r="S86" s="20"/>
      <c r="T86" s="20"/>
      <c r="U86" s="20"/>
      <c r="V86" s="20"/>
      <c r="W86" s="11">
        <v>32085.714285714286</v>
      </c>
      <c r="X86" s="11"/>
      <c r="Y86" s="11">
        <f t="shared" si="23"/>
        <v>32085.714285714286</v>
      </c>
      <c r="Z86" s="11">
        <f>H86*Y86</f>
        <v>385028.57142857142</v>
      </c>
      <c r="AA86" s="21">
        <v>54019</v>
      </c>
      <c r="AB86" s="21"/>
      <c r="AC86" s="21">
        <v>54019</v>
      </c>
      <c r="AD86" s="21">
        <f>H86*AC86</f>
        <v>648228</v>
      </c>
      <c r="AE86" s="11">
        <v>54019</v>
      </c>
      <c r="AF86" s="11"/>
      <c r="AG86" s="11">
        <v>54019</v>
      </c>
      <c r="AH86" s="11">
        <f t="shared" si="18"/>
        <v>648228</v>
      </c>
      <c r="AI86" s="21"/>
      <c r="AJ86" s="21"/>
      <c r="AK86" s="21"/>
      <c r="AL86" s="21"/>
      <c r="AM86" s="20">
        <f t="shared" si="24"/>
        <v>46707.904761904763</v>
      </c>
      <c r="AN86" s="20">
        <f t="shared" si="25"/>
        <v>54019</v>
      </c>
      <c r="AO86" s="20">
        <f t="shared" si="26"/>
        <v>10339.450041515633</v>
      </c>
      <c r="AP86" s="30">
        <f t="shared" si="21"/>
        <v>43679.549958484364</v>
      </c>
      <c r="AQ86" s="30">
        <f t="shared" si="22"/>
        <v>64358.450041515636</v>
      </c>
      <c r="AR86" s="13"/>
      <c r="AS86" s="13">
        <f>+(AP86-Y86)/Y86</f>
        <v>0.36133949113709057</v>
      </c>
      <c r="AT86" s="13"/>
      <c r="AU86" s="13"/>
      <c r="AV86" s="15"/>
      <c r="AW86" s="15"/>
      <c r="AX86" s="14"/>
      <c r="AY86" s="15"/>
      <c r="AZ86" s="15"/>
      <c r="BA86" s="20">
        <f>+AVERAGE(AC86,AG86)</f>
        <v>54019</v>
      </c>
      <c r="BB86" s="20">
        <f>+SMALL((AC86,AG86),1)</f>
        <v>54019</v>
      </c>
      <c r="BC86" s="20">
        <f t="shared" si="27"/>
        <v>0</v>
      </c>
      <c r="BD86" s="14">
        <f t="shared" si="28"/>
        <v>0</v>
      </c>
      <c r="BE86" s="20">
        <f>+BB86</f>
        <v>54019</v>
      </c>
      <c r="BF86" s="12"/>
    </row>
    <row r="87" spans="2:58" ht="36" customHeight="1">
      <c r="B87" s="17">
        <v>76</v>
      </c>
      <c r="C87" s="18"/>
      <c r="D87" s="49" t="s">
        <v>221</v>
      </c>
      <c r="E87" s="50" t="s">
        <v>221</v>
      </c>
      <c r="F87" s="51" t="s">
        <v>221</v>
      </c>
      <c r="G87" s="18" t="s">
        <v>223</v>
      </c>
      <c r="H87" s="18">
        <v>48</v>
      </c>
      <c r="I87" s="18" t="s">
        <v>0</v>
      </c>
      <c r="J87" s="20"/>
      <c r="K87" s="20"/>
      <c r="L87" s="20"/>
      <c r="M87" s="20"/>
      <c r="N87" s="19"/>
      <c r="O87" s="10">
        <v>10871</v>
      </c>
      <c r="P87" s="10"/>
      <c r="Q87" s="10">
        <f t="shared" ref="Q87" si="29">+O87+P87</f>
        <v>10871</v>
      </c>
      <c r="R87" s="10">
        <f>+Q87*H87</f>
        <v>521808</v>
      </c>
      <c r="S87" s="20"/>
      <c r="T87" s="20"/>
      <c r="U87" s="20"/>
      <c r="V87" s="20"/>
      <c r="W87" s="11">
        <v>11000</v>
      </c>
      <c r="X87" s="11"/>
      <c r="Y87" s="11">
        <f t="shared" si="23"/>
        <v>11000</v>
      </c>
      <c r="Z87" s="11">
        <f>H87*Y87</f>
        <v>528000</v>
      </c>
      <c r="AA87" s="21">
        <v>9451</v>
      </c>
      <c r="AB87" s="21"/>
      <c r="AC87" s="21">
        <v>9451</v>
      </c>
      <c r="AD87" s="21">
        <f>H87*AC87</f>
        <v>453648</v>
      </c>
      <c r="AE87" s="11"/>
      <c r="AF87" s="11"/>
      <c r="AG87" s="11"/>
      <c r="AH87" s="11"/>
      <c r="AI87" s="21"/>
      <c r="AJ87" s="21"/>
      <c r="AK87" s="21"/>
      <c r="AL87" s="21"/>
      <c r="AM87" s="20">
        <f t="shared" si="24"/>
        <v>10440.666666666666</v>
      </c>
      <c r="AN87" s="20">
        <f t="shared" si="25"/>
        <v>10871</v>
      </c>
      <c r="AO87" s="20">
        <f t="shared" si="26"/>
        <v>701.7788508893351</v>
      </c>
      <c r="AP87" s="30">
        <f t="shared" si="21"/>
        <v>10169.221149110665</v>
      </c>
      <c r="AQ87" s="30">
        <f t="shared" si="22"/>
        <v>11572.778850889335</v>
      </c>
      <c r="AR87" s="13"/>
      <c r="AS87" s="13"/>
      <c r="AT87" s="13">
        <f>+(AP87-AC87)/AC87</f>
        <v>7.5994196287235694E-2</v>
      </c>
      <c r="AU87" s="13"/>
      <c r="AV87" s="15"/>
      <c r="AW87" s="15"/>
      <c r="AX87" s="14"/>
      <c r="AY87" s="15"/>
      <c r="AZ87" s="15"/>
      <c r="BA87" s="20">
        <f>+AVERAGE(Q87,Y87)</f>
        <v>10935.5</v>
      </c>
      <c r="BB87" s="20">
        <f>+SMALL((Q87,Y87),1)</f>
        <v>10871</v>
      </c>
      <c r="BC87" s="20"/>
      <c r="BD87" s="14"/>
      <c r="BE87" s="20">
        <f>BA87</f>
        <v>10935.5</v>
      </c>
      <c r="BF87" s="12"/>
    </row>
    <row r="88" spans="2:58" ht="51" customHeight="1">
      <c r="B88" s="17">
        <v>77</v>
      </c>
      <c r="C88" s="18"/>
      <c r="D88" s="49" t="s">
        <v>222</v>
      </c>
      <c r="E88" s="50" t="s">
        <v>222</v>
      </c>
      <c r="F88" s="51" t="s">
        <v>222</v>
      </c>
      <c r="G88" s="18" t="s">
        <v>224</v>
      </c>
      <c r="H88" s="18">
        <v>200</v>
      </c>
      <c r="I88" s="18" t="s">
        <v>0</v>
      </c>
      <c r="J88" s="30"/>
      <c r="K88" s="30"/>
      <c r="L88" s="30"/>
      <c r="M88" s="30"/>
      <c r="N88" s="29"/>
      <c r="O88" s="10"/>
      <c r="P88" s="10"/>
      <c r="Q88" s="10"/>
      <c r="R88" s="10"/>
      <c r="S88" s="30"/>
      <c r="T88" s="30"/>
      <c r="U88" s="20"/>
      <c r="V88" s="20"/>
      <c r="W88" s="21"/>
      <c r="X88" s="11"/>
      <c r="Y88" s="11"/>
      <c r="Z88" s="11"/>
      <c r="AA88" s="21">
        <v>15297</v>
      </c>
      <c r="AB88" s="21"/>
      <c r="AC88" s="21">
        <v>15297</v>
      </c>
      <c r="AD88" s="21">
        <f>H88*AC88</f>
        <v>3059400</v>
      </c>
      <c r="AE88" s="11"/>
      <c r="AF88" s="11"/>
      <c r="AG88" s="11"/>
      <c r="AH88" s="11"/>
      <c r="AI88" s="21"/>
      <c r="AJ88" s="21"/>
      <c r="AK88" s="21"/>
      <c r="AL88" s="21"/>
      <c r="AM88" s="20">
        <f t="shared" si="24"/>
        <v>15297</v>
      </c>
      <c r="AN88" s="20">
        <f t="shared" si="25"/>
        <v>15297</v>
      </c>
      <c r="AO88" s="20"/>
      <c r="AP88" s="30">
        <f>AN88-AO88</f>
        <v>15297</v>
      </c>
      <c r="AQ88" s="30">
        <f t="shared" si="22"/>
        <v>15297</v>
      </c>
      <c r="AR88" s="13"/>
      <c r="AS88" s="13"/>
      <c r="AT88" s="13"/>
      <c r="AU88" s="13"/>
      <c r="AV88" s="6"/>
      <c r="AW88" s="6"/>
      <c r="AX88" s="9"/>
      <c r="AY88" s="6"/>
      <c r="AZ88" s="13"/>
      <c r="BA88" s="30">
        <f>AC88</f>
        <v>15297</v>
      </c>
      <c r="BB88" s="30">
        <f>BA88</f>
        <v>15297</v>
      </c>
      <c r="BC88" s="20"/>
      <c r="BD88" s="14"/>
      <c r="BE88" s="20">
        <f>BA88</f>
        <v>15297</v>
      </c>
      <c r="BF88" s="12"/>
    </row>
    <row r="89" spans="2:58" ht="30.75" customHeight="1">
      <c r="B89" s="43" t="s">
        <v>252</v>
      </c>
      <c r="C89" s="44"/>
      <c r="D89" s="44"/>
      <c r="E89" s="44"/>
      <c r="F89" s="44"/>
      <c r="G89" s="44"/>
      <c r="H89" s="44"/>
      <c r="I89" s="45"/>
      <c r="J89" s="32">
        <f>SUM(J12:J88)</f>
        <v>2625314</v>
      </c>
      <c r="K89" s="32">
        <f>SUM(K12:K88)</f>
        <v>6676.0299999999988</v>
      </c>
      <c r="L89" s="32">
        <f t="shared" ref="L89:AO89" si="30">SUM(L12:L88)</f>
        <v>2631990.0299999998</v>
      </c>
      <c r="M89" s="32">
        <f t="shared" si="30"/>
        <v>2631990.0299999998</v>
      </c>
      <c r="N89" s="31"/>
      <c r="O89" s="32">
        <f t="shared" si="30"/>
        <v>180436</v>
      </c>
      <c r="P89" s="32">
        <f t="shared" si="30"/>
        <v>1207.07</v>
      </c>
      <c r="Q89" s="32">
        <f t="shared" si="30"/>
        <v>181643.07</v>
      </c>
      <c r="R89" s="32">
        <f t="shared" si="30"/>
        <v>7387036.5</v>
      </c>
      <c r="S89" s="32">
        <f t="shared" si="30"/>
        <v>3164289</v>
      </c>
      <c r="T89" s="32">
        <f t="shared" si="30"/>
        <v>21187</v>
      </c>
      <c r="U89" s="32">
        <f t="shared" si="30"/>
        <v>3185476</v>
      </c>
      <c r="V89" s="32">
        <f t="shared" si="30"/>
        <v>73818979</v>
      </c>
      <c r="W89" s="32">
        <f t="shared" si="30"/>
        <v>1111616.6666666667</v>
      </c>
      <c r="X89" s="32">
        <f t="shared" si="30"/>
        <v>0</v>
      </c>
      <c r="Y89" s="32">
        <f t="shared" si="30"/>
        <v>1111616.6666666667</v>
      </c>
      <c r="Z89" s="32">
        <f t="shared" si="30"/>
        <v>28256435.714285716</v>
      </c>
      <c r="AA89" s="32">
        <f t="shared" si="30"/>
        <v>3330262</v>
      </c>
      <c r="AB89" s="32">
        <f t="shared" si="30"/>
        <v>60745.05</v>
      </c>
      <c r="AC89" s="32">
        <f t="shared" si="30"/>
        <v>3391008.25</v>
      </c>
      <c r="AD89" s="32">
        <f t="shared" si="30"/>
        <v>82690728</v>
      </c>
      <c r="AE89" s="32">
        <f t="shared" si="30"/>
        <v>2654713</v>
      </c>
      <c r="AF89" s="32">
        <f t="shared" si="30"/>
        <v>9625</v>
      </c>
      <c r="AG89" s="32">
        <f t="shared" si="30"/>
        <v>2664338</v>
      </c>
      <c r="AH89" s="32">
        <f t="shared" si="30"/>
        <v>74626696</v>
      </c>
      <c r="AI89" s="32">
        <f t="shared" si="30"/>
        <v>429940</v>
      </c>
      <c r="AJ89" s="32"/>
      <c r="AK89" s="32">
        <f t="shared" si="30"/>
        <v>430975.88</v>
      </c>
      <c r="AL89" s="32">
        <f t="shared" si="30"/>
        <v>13168389.120000001</v>
      </c>
      <c r="AM89" s="32">
        <f t="shared" si="30"/>
        <v>3484987.7096825396</v>
      </c>
      <c r="AN89" s="32">
        <f t="shared" si="30"/>
        <v>3443938.3797619049</v>
      </c>
      <c r="AO89" s="32">
        <f t="shared" si="30"/>
        <v>520615.38755710202</v>
      </c>
      <c r="AP89" s="32">
        <f t="shared" ref="AP89" si="31">SUM(AP12:AP88)</f>
        <v>2923322.992204803</v>
      </c>
      <c r="AQ89" s="32">
        <f t="shared" ref="AQ89" si="32">SUM(AQ12:AQ88)</f>
        <v>3964553.7673190068</v>
      </c>
      <c r="AR89" s="33">
        <f>AVERAGE(AR12:AR88)</f>
        <v>0.15621710191220473</v>
      </c>
      <c r="AS89" s="33">
        <f t="shared" ref="AS89:AZ89" si="33">AVERAGE(AS12:AS88)</f>
        <v>50.919054283642488</v>
      </c>
      <c r="AT89" s="33">
        <f t="shared" si="33"/>
        <v>6.2481916398200804E-2</v>
      </c>
      <c r="AU89" s="33">
        <f t="shared" si="33"/>
        <v>0.40303511525956848</v>
      </c>
      <c r="AV89" s="33">
        <f t="shared" si="33"/>
        <v>0.28086401374294145</v>
      </c>
      <c r="AW89" s="33"/>
      <c r="AX89" s="33">
        <f t="shared" si="33"/>
        <v>9.0472792387336409E-2</v>
      </c>
      <c r="AY89" s="33">
        <f t="shared" si="33"/>
        <v>0.20341278222287337</v>
      </c>
      <c r="AZ89" s="33">
        <f t="shared" si="33"/>
        <v>0.22622467918129727</v>
      </c>
      <c r="BA89" s="32">
        <f>SUM(BA12:BA88)</f>
        <v>3258687.1258730157</v>
      </c>
      <c r="BB89" s="32">
        <f>SUM(BB12:BB88)</f>
        <v>3100163.110952381</v>
      </c>
      <c r="BC89" s="32">
        <f>SUM(BC12:BC88)</f>
        <v>190934.08095238096</v>
      </c>
      <c r="BD89" s="33">
        <f t="shared" ref="BD89" si="34">AVERAGE(BD12:BD88)</f>
        <v>8.1211104768537892E-2</v>
      </c>
      <c r="BE89" s="32">
        <f>SUM(BE12:BE88)</f>
        <v>3144498.506190476</v>
      </c>
    </row>
    <row r="90" spans="2:58">
      <c r="B90" s="2"/>
      <c r="C90" s="2"/>
      <c r="D90" s="2"/>
      <c r="E90" s="2"/>
      <c r="F90" s="2"/>
      <c r="G90" s="2"/>
      <c r="H90" s="2"/>
      <c r="I90" s="2"/>
      <c r="J90" s="2"/>
      <c r="K90" s="2"/>
      <c r="L90" s="2"/>
      <c r="N90" s="2"/>
      <c r="O90" s="2"/>
      <c r="P90" s="2"/>
      <c r="Q90" s="2"/>
      <c r="R90" s="2"/>
      <c r="S90" s="2"/>
      <c r="U90" s="2"/>
      <c r="V90" s="2"/>
      <c r="W90" s="2"/>
      <c r="Y90" s="2"/>
      <c r="Z90" s="2"/>
      <c r="AA90" s="2"/>
      <c r="AB90" s="2"/>
      <c r="AC90" s="2"/>
      <c r="AD90" s="2"/>
      <c r="AE90" s="2"/>
      <c r="AF90" s="2"/>
      <c r="AG90" s="2"/>
      <c r="AH90" s="2"/>
      <c r="AI90" s="2"/>
      <c r="AJ90" s="2"/>
      <c r="AK90" s="2"/>
    </row>
    <row r="91" spans="2:58" hidden="1">
      <c r="B91" s="59" t="s">
        <v>21</v>
      </c>
      <c r="C91" s="60"/>
      <c r="D91" s="61"/>
      <c r="E91" s="2"/>
      <c r="F91" s="2"/>
      <c r="G91" s="2"/>
      <c r="H91" s="2"/>
      <c r="I91" s="2"/>
      <c r="J91" s="2"/>
      <c r="K91" s="2"/>
      <c r="L91" s="2"/>
      <c r="N91" s="2"/>
      <c r="O91" s="2"/>
      <c r="P91" s="2"/>
      <c r="Q91" s="2"/>
      <c r="R91" s="2"/>
      <c r="S91" s="2"/>
      <c r="U91" s="2"/>
      <c r="V91" s="2"/>
      <c r="W91" s="2"/>
      <c r="Y91" s="2"/>
      <c r="Z91" s="2"/>
      <c r="AA91" s="2"/>
      <c r="AB91" s="2"/>
      <c r="AC91" s="2"/>
      <c r="AD91" s="2"/>
      <c r="AE91" s="2"/>
      <c r="AF91" s="2"/>
      <c r="AG91" s="2"/>
      <c r="AH91" s="2"/>
      <c r="AI91" s="2"/>
      <c r="AJ91" s="2"/>
      <c r="AK91" s="2"/>
    </row>
    <row r="92" spans="2:58" ht="12.75" hidden="1" customHeight="1">
      <c r="B92" s="34" t="s">
        <v>1</v>
      </c>
      <c r="C92" s="35" t="s">
        <v>22</v>
      </c>
      <c r="D92" s="35" t="s">
        <v>23</v>
      </c>
      <c r="E92" s="2"/>
      <c r="F92" s="2"/>
      <c r="G92" s="2"/>
      <c r="H92" s="2"/>
      <c r="I92" s="2"/>
      <c r="J92" s="2"/>
      <c r="K92" s="2"/>
      <c r="L92" s="2"/>
      <c r="N92" s="2"/>
      <c r="O92" s="2"/>
      <c r="P92" s="2"/>
      <c r="Q92" s="2"/>
      <c r="R92" s="2"/>
      <c r="S92" s="2"/>
      <c r="U92" s="2"/>
      <c r="V92" s="2"/>
      <c r="W92" s="2"/>
      <c r="Y92" s="2"/>
      <c r="Z92" s="2"/>
      <c r="AA92" s="2"/>
      <c r="AB92" s="2"/>
      <c r="AC92" s="2"/>
      <c r="AD92" s="2"/>
      <c r="AE92" s="2"/>
      <c r="AF92" s="2"/>
      <c r="AG92" s="2"/>
      <c r="AH92" s="2"/>
      <c r="AI92" s="2"/>
      <c r="AJ92" s="2"/>
      <c r="AK92" s="2"/>
    </row>
    <row r="93" spans="2:58" ht="119.25" hidden="1" customHeight="1">
      <c r="B93" s="3">
        <v>1</v>
      </c>
      <c r="C93" s="4" t="str">
        <f>+J10</f>
        <v>HISTÓRICO CONTRATOS
DISCOLMEDICA S.A.S - CTO. 4347-2023
FARMAPOS LTDA - CTO. 4348-2023
MEGALAB - CTO. 4350-2023
RAFAEL ANTONIO SALAMANCA - CTO. 4351-2023
PHARMAPLUS - CTO. 4352-2023</v>
      </c>
      <c r="D93" s="38">
        <f>+L89</f>
        <v>2631990.0299999998</v>
      </c>
      <c r="E93" s="2"/>
      <c r="F93" s="2"/>
      <c r="G93" s="2"/>
      <c r="H93" s="2"/>
      <c r="I93" s="2"/>
      <c r="J93" s="2"/>
      <c r="K93" s="2"/>
      <c r="L93" s="2"/>
      <c r="N93" s="2"/>
      <c r="O93" s="2"/>
      <c r="P93" s="2"/>
      <c r="Q93" s="2"/>
      <c r="R93" s="2"/>
      <c r="S93" s="2"/>
      <c r="U93" s="2"/>
      <c r="V93" s="2"/>
      <c r="W93" s="2"/>
      <c r="Y93" s="2"/>
      <c r="Z93" s="2"/>
      <c r="AA93" s="2"/>
      <c r="AB93" s="2"/>
      <c r="AC93" s="2"/>
      <c r="AD93" s="2"/>
      <c r="AE93" s="2"/>
      <c r="AF93" s="2"/>
      <c r="AG93" s="2"/>
      <c r="AH93" s="2"/>
      <c r="AI93" s="2"/>
      <c r="AJ93" s="2"/>
      <c r="AK93" s="2"/>
    </row>
    <row r="94" spans="2:58" hidden="1">
      <c r="B94" s="3">
        <v>2</v>
      </c>
      <c r="C94" s="4" t="str">
        <f>+O10</f>
        <v>MEDICOX LTDA</v>
      </c>
      <c r="D94" s="38">
        <f>+Q89</f>
        <v>181643.07</v>
      </c>
      <c r="E94" s="2"/>
      <c r="F94" s="2"/>
      <c r="G94" s="2"/>
      <c r="H94" s="2"/>
      <c r="I94" s="2"/>
      <c r="J94" s="2"/>
      <c r="K94" s="2"/>
      <c r="L94" s="2"/>
      <c r="N94" s="2"/>
      <c r="O94" s="2"/>
      <c r="P94" s="2"/>
      <c r="Q94" s="2"/>
      <c r="R94" s="2"/>
      <c r="S94" s="2"/>
      <c r="U94" s="2"/>
      <c r="V94" s="2"/>
      <c r="W94" s="2"/>
      <c r="Y94" s="2"/>
      <c r="Z94" s="2"/>
      <c r="AA94" s="2"/>
      <c r="AB94" s="2"/>
      <c r="AC94" s="2"/>
      <c r="AD94" s="2"/>
      <c r="AE94" s="2"/>
      <c r="AF94" s="2"/>
      <c r="AG94" s="2"/>
      <c r="AH94" s="2"/>
      <c r="AI94" s="2"/>
      <c r="AJ94" s="2"/>
      <c r="AK94" s="2"/>
    </row>
    <row r="95" spans="2:58" hidden="1">
      <c r="B95" s="3">
        <v>3</v>
      </c>
      <c r="C95" s="4" t="str">
        <f>+S10</f>
        <v>DISCOLMEDICA S.A.S</v>
      </c>
      <c r="D95" s="38">
        <f>+U89</f>
        <v>3185476</v>
      </c>
      <c r="E95" s="2"/>
      <c r="F95" s="2"/>
      <c r="G95" s="2"/>
      <c r="H95" s="2"/>
      <c r="I95" s="2"/>
      <c r="J95" s="2"/>
      <c r="K95" s="2"/>
      <c r="L95" s="2"/>
      <c r="N95" s="2"/>
      <c r="O95" s="2"/>
      <c r="P95" s="2"/>
      <c r="Q95" s="2"/>
      <c r="R95" s="2"/>
      <c r="S95" s="2"/>
      <c r="U95" s="2"/>
      <c r="V95" s="2"/>
      <c r="W95" s="2"/>
      <c r="Y95" s="2"/>
      <c r="Z95" s="2"/>
      <c r="AA95" s="2"/>
      <c r="AB95" s="2"/>
      <c r="AC95" s="2"/>
      <c r="AD95" s="2"/>
      <c r="AE95" s="2"/>
      <c r="AF95" s="2"/>
      <c r="AG95" s="2"/>
      <c r="AH95" s="2"/>
      <c r="AI95" s="2"/>
      <c r="AJ95" s="2"/>
      <c r="AK95" s="2"/>
    </row>
    <row r="96" spans="2:58" hidden="1">
      <c r="B96" s="3">
        <v>4</v>
      </c>
      <c r="C96" s="4" t="str">
        <f>+W10</f>
        <v xml:space="preserve">	LIFESUMIMED SAS</v>
      </c>
      <c r="D96" s="38">
        <f>Y89</f>
        <v>1111616.6666666667</v>
      </c>
      <c r="E96" s="2"/>
      <c r="F96" s="2"/>
      <c r="G96" s="2"/>
      <c r="H96" s="2"/>
      <c r="I96" s="2"/>
      <c r="J96" s="2"/>
      <c r="K96" s="2"/>
      <c r="L96" s="2"/>
      <c r="N96" s="2"/>
      <c r="O96" s="2"/>
      <c r="P96" s="2"/>
      <c r="Q96" s="2"/>
      <c r="R96" s="2"/>
      <c r="S96" s="2"/>
      <c r="U96" s="2"/>
      <c r="V96" s="2"/>
      <c r="W96" s="2"/>
      <c r="Y96" s="2"/>
      <c r="Z96" s="2"/>
      <c r="AA96" s="2"/>
      <c r="AB96" s="2"/>
      <c r="AC96" s="2"/>
      <c r="AD96" s="2"/>
      <c r="AE96" s="2"/>
      <c r="AF96" s="2"/>
      <c r="AG96" s="2"/>
      <c r="AH96" s="2"/>
      <c r="AI96" s="2"/>
      <c r="AJ96" s="2"/>
      <c r="AK96" s="2"/>
    </row>
    <row r="97" spans="2:57" hidden="1">
      <c r="B97" s="3">
        <v>5</v>
      </c>
      <c r="C97" s="4" t="str">
        <f>AA10</f>
        <v>FARMAPOS LTDA</v>
      </c>
      <c r="D97" s="38">
        <f>AC89</f>
        <v>3391008.25</v>
      </c>
      <c r="E97" s="2"/>
      <c r="F97" s="2"/>
      <c r="G97" s="2"/>
      <c r="H97" s="2"/>
      <c r="I97" s="2"/>
      <c r="J97" s="2"/>
      <c r="K97" s="2"/>
      <c r="L97" s="2"/>
      <c r="N97" s="2"/>
      <c r="O97" s="2"/>
      <c r="P97" s="2"/>
      <c r="Q97" s="2"/>
      <c r="R97" s="2"/>
      <c r="S97" s="2"/>
      <c r="U97" s="2"/>
      <c r="V97" s="2"/>
      <c r="W97" s="2"/>
      <c r="Y97" s="2"/>
      <c r="Z97" s="2"/>
      <c r="AA97" s="2"/>
      <c r="AB97" s="2"/>
      <c r="AC97" s="2"/>
      <c r="AD97" s="2"/>
      <c r="AE97" s="2"/>
      <c r="AF97" s="2"/>
      <c r="AG97" s="2"/>
      <c r="AH97" s="2"/>
      <c r="AI97" s="2"/>
      <c r="AJ97" s="2"/>
      <c r="AK97" s="2"/>
    </row>
    <row r="98" spans="2:57" hidden="1">
      <c r="B98" s="3">
        <v>6</v>
      </c>
      <c r="C98" s="4" t="str">
        <f>+AE10</f>
        <v>RAFAEL ANTONIO SALAMANCA</v>
      </c>
      <c r="D98" s="38">
        <f>+AG89</f>
        <v>2664338</v>
      </c>
      <c r="E98" s="36"/>
      <c r="F98" s="2"/>
      <c r="G98" s="2"/>
      <c r="H98" s="2"/>
      <c r="I98" s="2"/>
      <c r="J98" s="2"/>
      <c r="K98" s="2"/>
      <c r="L98" s="2"/>
      <c r="N98" s="2"/>
      <c r="O98" s="2"/>
      <c r="P98" s="2"/>
      <c r="Q98" s="2"/>
      <c r="R98" s="2"/>
      <c r="S98" s="2"/>
      <c r="U98" s="2"/>
      <c r="V98" s="2"/>
      <c r="W98" s="2"/>
      <c r="Y98" s="2"/>
      <c r="Z98" s="2"/>
      <c r="AA98" s="2"/>
      <c r="AB98" s="2"/>
      <c r="AC98" s="2"/>
      <c r="AD98" s="2"/>
      <c r="AE98" s="2"/>
      <c r="AF98" s="2"/>
      <c r="AG98" s="2"/>
      <c r="AH98" s="2"/>
      <c r="AI98" s="2"/>
      <c r="AJ98" s="2"/>
      <c r="AK98" s="2"/>
    </row>
    <row r="99" spans="2:57" ht="18.75" hidden="1" customHeight="1">
      <c r="B99" s="3">
        <v>7</v>
      </c>
      <c r="C99" s="4" t="str">
        <f>+AI10</f>
        <v>VIOLOGIKA PHARMA SAS</v>
      </c>
      <c r="D99" s="38">
        <f>+AK89</f>
        <v>430975.88</v>
      </c>
      <c r="E99" s="36"/>
      <c r="F99" s="2"/>
      <c r="G99" s="2"/>
      <c r="H99" s="2"/>
      <c r="I99" s="2"/>
      <c r="J99" s="2"/>
      <c r="K99" s="2"/>
      <c r="L99" s="2"/>
      <c r="N99" s="2"/>
      <c r="O99" s="2"/>
      <c r="P99" s="2"/>
      <c r="Q99" s="2"/>
      <c r="R99" s="2"/>
      <c r="S99" s="2"/>
      <c r="U99" s="2"/>
      <c r="V99" s="2"/>
      <c r="W99" s="2"/>
      <c r="Y99" s="2"/>
      <c r="Z99" s="2"/>
      <c r="AA99" s="2"/>
      <c r="AB99" s="2"/>
      <c r="AC99" s="2"/>
      <c r="AD99" s="2"/>
      <c r="AE99" s="2"/>
      <c r="AF99" s="2"/>
      <c r="AG99" s="2"/>
      <c r="AH99" s="2"/>
      <c r="AI99" s="2"/>
      <c r="AJ99" s="2"/>
      <c r="AK99" s="2"/>
    </row>
    <row r="100" spans="2:57" ht="33.75" hidden="1" customHeight="1">
      <c r="B100" s="3">
        <v>8</v>
      </c>
      <c r="C100" s="4" t="str">
        <f>+BE11</f>
        <v>PRECIO TECHO UNITARIO</v>
      </c>
      <c r="D100" s="38">
        <f>+BE89</f>
        <v>3144498.506190476</v>
      </c>
      <c r="E100" s="37"/>
      <c r="T100" s="1"/>
      <c r="X100" s="1"/>
    </row>
    <row r="101" spans="2:57" hidden="1">
      <c r="B101" s="5"/>
      <c r="C101" s="5"/>
      <c r="D101" s="5"/>
      <c r="E101" s="2"/>
      <c r="F101" s="2"/>
      <c r="G101" s="2"/>
      <c r="H101" s="2"/>
      <c r="I101" s="2"/>
      <c r="J101" s="2"/>
      <c r="K101" s="2"/>
      <c r="L101" s="2"/>
      <c r="N101" s="2"/>
      <c r="O101" s="2"/>
      <c r="P101" s="2"/>
      <c r="Q101" s="2"/>
      <c r="R101" s="2"/>
      <c r="S101" s="2"/>
      <c r="U101" s="2"/>
      <c r="V101" s="2"/>
      <c r="W101" s="2"/>
      <c r="Y101" s="2"/>
      <c r="Z101" s="2"/>
      <c r="AA101" s="2"/>
      <c r="AB101" s="2"/>
      <c r="AC101" s="2"/>
      <c r="AD101" s="2"/>
      <c r="AE101" s="2"/>
      <c r="AF101" s="2"/>
      <c r="AG101" s="2"/>
      <c r="AH101" s="2"/>
      <c r="AI101" s="2"/>
      <c r="AJ101" s="2"/>
      <c r="AK101" s="2"/>
    </row>
    <row r="102" spans="2:57" ht="117.75" hidden="1" customHeight="1">
      <c r="B102" s="70" t="s">
        <v>258</v>
      </c>
      <c r="C102" s="71"/>
      <c r="D102" s="71"/>
      <c r="E102" s="71"/>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71"/>
      <c r="AM102" s="71"/>
      <c r="AN102" s="71"/>
      <c r="AO102" s="71"/>
      <c r="AP102" s="71"/>
      <c r="AQ102" s="71"/>
      <c r="AR102" s="71"/>
      <c r="AS102" s="71"/>
      <c r="AT102" s="71"/>
      <c r="AU102" s="71"/>
      <c r="AV102" s="71"/>
      <c r="AW102" s="71"/>
      <c r="AX102" s="71"/>
      <c r="AY102" s="71"/>
      <c r="AZ102" s="71"/>
      <c r="BA102" s="71"/>
      <c r="BB102" s="71"/>
      <c r="BC102" s="71"/>
      <c r="BD102" s="71"/>
      <c r="BE102" s="72"/>
    </row>
    <row r="103" spans="2:57" hidden="1">
      <c r="B103" s="2"/>
      <c r="C103" s="2"/>
      <c r="D103" s="2"/>
      <c r="E103" s="2"/>
      <c r="F103" s="2"/>
      <c r="G103" s="2"/>
      <c r="H103" s="2"/>
      <c r="I103" s="2"/>
      <c r="J103" s="2"/>
      <c r="K103" s="2"/>
      <c r="L103" s="2"/>
      <c r="N103" s="2"/>
      <c r="O103" s="2"/>
      <c r="P103" s="2"/>
      <c r="Q103" s="2"/>
      <c r="R103" s="2"/>
      <c r="S103" s="2"/>
      <c r="U103" s="2"/>
      <c r="V103" s="2"/>
      <c r="X103" s="1"/>
    </row>
    <row r="104" spans="2:57" ht="12.75" hidden="1">
      <c r="B104" s="39" t="s">
        <v>10</v>
      </c>
      <c r="C104" s="46"/>
      <c r="D104" s="46"/>
    </row>
    <row r="105" spans="2:57" ht="12.75" hidden="1">
      <c r="B105" s="40" t="s">
        <v>259</v>
      </c>
      <c r="C105" s="47" t="s">
        <v>260</v>
      </c>
      <c r="D105" s="47"/>
    </row>
    <row r="106" spans="2:57" ht="12.75" hidden="1">
      <c r="B106" s="40" t="s">
        <v>261</v>
      </c>
      <c r="C106" s="48" t="s">
        <v>262</v>
      </c>
      <c r="D106" s="48"/>
    </row>
    <row r="107" spans="2:57" ht="12.75" hidden="1">
      <c r="B107" s="41" t="s">
        <v>11</v>
      </c>
      <c r="C107" s="41"/>
      <c r="D107" s="42"/>
    </row>
  </sheetData>
  <sheetProtection algorithmName="SHA-512" hashValue="rw0KdThsLbrLlechlH/YsASs3EI4f4lI2XjGKJ8g3Oz/WUcwDPUMgGt6828fmDjAbpYkML6I7hQLuaaXY8fweA==" saltValue="xI+6rlIxb5UMJ0lkgWkbFw==" spinCount="100000" sheet="1" objects="1" scenarios="1"/>
  <protectedRanges>
    <protectedRange sqref="H12:H30" name="Rango1_1"/>
  </protectedRanges>
  <autoFilter ref="A11:BE11">
    <filterColumn colId="3" showButton="0"/>
    <filterColumn colId="4" showButton="0"/>
  </autoFilter>
  <mergeCells count="108">
    <mergeCell ref="B102:BE102"/>
    <mergeCell ref="E2:BB4"/>
    <mergeCell ref="E5:BE5"/>
    <mergeCell ref="E6:BE6"/>
    <mergeCell ref="E7:BE7"/>
    <mergeCell ref="E8:BE8"/>
    <mergeCell ref="AM10:BE10"/>
    <mergeCell ref="D21:F21"/>
    <mergeCell ref="D22:F22"/>
    <mergeCell ref="D23:F23"/>
    <mergeCell ref="B2:D4"/>
    <mergeCell ref="B5:D5"/>
    <mergeCell ref="B6:D6"/>
    <mergeCell ref="BE2:BE4"/>
    <mergeCell ref="J10:N10"/>
    <mergeCell ref="I10:I11"/>
    <mergeCell ref="G10:G11"/>
    <mergeCell ref="O10:R10"/>
    <mergeCell ref="D16:F16"/>
    <mergeCell ref="D17:F17"/>
    <mergeCell ref="D18:F18"/>
    <mergeCell ref="D19:F19"/>
    <mergeCell ref="D20:F20"/>
    <mergeCell ref="B10:B11"/>
    <mergeCell ref="B7:D7"/>
    <mergeCell ref="B8:D8"/>
    <mergeCell ref="C10:C11"/>
    <mergeCell ref="B91:D91"/>
    <mergeCell ref="AI10:AL10"/>
    <mergeCell ref="W10:Z10"/>
    <mergeCell ref="D10:F11"/>
    <mergeCell ref="D88:F88"/>
    <mergeCell ref="S10:V10"/>
    <mergeCell ref="H10:H11"/>
    <mergeCell ref="D29:F29"/>
    <mergeCell ref="D30:F30"/>
    <mergeCell ref="D31:F31"/>
    <mergeCell ref="D32:F32"/>
    <mergeCell ref="D33:F33"/>
    <mergeCell ref="D24:F24"/>
    <mergeCell ref="D25:F25"/>
    <mergeCell ref="D26:F26"/>
    <mergeCell ref="D27:F27"/>
    <mergeCell ref="D28:F28"/>
    <mergeCell ref="D34:F34"/>
    <mergeCell ref="D35:F35"/>
    <mergeCell ref="D36:F36"/>
    <mergeCell ref="D37:F37"/>
    <mergeCell ref="D38:F38"/>
    <mergeCell ref="D12:F12"/>
    <mergeCell ref="D13:F13"/>
    <mergeCell ref="D14:F14"/>
    <mergeCell ref="D15:F15"/>
    <mergeCell ref="D73:F73"/>
    <mergeCell ref="D64:F64"/>
    <mergeCell ref="D65:F65"/>
    <mergeCell ref="D66:F66"/>
    <mergeCell ref="D52:F52"/>
    <mergeCell ref="D53:F53"/>
    <mergeCell ref="D39:F39"/>
    <mergeCell ref="D40:F40"/>
    <mergeCell ref="D41:F41"/>
    <mergeCell ref="D42:F42"/>
    <mergeCell ref="D43:F43"/>
    <mergeCell ref="D44:F44"/>
    <mergeCell ref="D45:F45"/>
    <mergeCell ref="D46:F46"/>
    <mergeCell ref="D47:F47"/>
    <mergeCell ref="D48:F48"/>
    <mergeCell ref="D67:F67"/>
    <mergeCell ref="D68:F68"/>
    <mergeCell ref="D59:F59"/>
    <mergeCell ref="D60:F60"/>
    <mergeCell ref="D61:F61"/>
    <mergeCell ref="D62:F62"/>
    <mergeCell ref="D63:F63"/>
    <mergeCell ref="D54:F54"/>
    <mergeCell ref="D55:F55"/>
    <mergeCell ref="D56:F56"/>
    <mergeCell ref="D57:F57"/>
    <mergeCell ref="D58:F58"/>
    <mergeCell ref="D49:F49"/>
    <mergeCell ref="D50:F50"/>
    <mergeCell ref="D51:F51"/>
    <mergeCell ref="B89:I89"/>
    <mergeCell ref="C104:D104"/>
    <mergeCell ref="C105:D105"/>
    <mergeCell ref="C106:D106"/>
    <mergeCell ref="D84:F84"/>
    <mergeCell ref="D85:F85"/>
    <mergeCell ref="D86:F86"/>
    <mergeCell ref="D87:F87"/>
    <mergeCell ref="AE10:AH10"/>
    <mergeCell ref="AA10:AD10"/>
    <mergeCell ref="D79:F79"/>
    <mergeCell ref="D80:F80"/>
    <mergeCell ref="D81:F81"/>
    <mergeCell ref="D82:F82"/>
    <mergeCell ref="D83:F83"/>
    <mergeCell ref="D74:F74"/>
    <mergeCell ref="D75:F75"/>
    <mergeCell ref="D76:F76"/>
    <mergeCell ref="D77:F77"/>
    <mergeCell ref="D78:F78"/>
    <mergeCell ref="D69:F69"/>
    <mergeCell ref="D70:F70"/>
    <mergeCell ref="D71:F71"/>
    <mergeCell ref="D72:F72"/>
  </mergeCells>
  <printOptions horizontalCentered="1" verticalCentered="1"/>
  <pageMargins left="0.23622047244094491" right="0.23622047244094491" top="0.74803149606299213" bottom="0.74803149606299213" header="0.31496062992125984" footer="0.31496062992125984"/>
  <pageSetup paperSize="132" scale="20" orientation="landscape" r:id="rId1"/>
  <rowBreaks count="2" manualBreakCount="2">
    <brk id="76" max="56" man="1"/>
    <brk id="109" max="56" man="1"/>
  </rowBreaks>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EM-294-2023</vt:lpstr>
      <vt:lpstr>'EM-294-2023'!Área_de_impresión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Contabilidad-Server</dc:creator>
  <cp:lastModifiedBy>Guillermo Andres Pachon Alvarez</cp:lastModifiedBy>
  <cp:lastPrinted>2023-09-01T20:48:37Z</cp:lastPrinted>
  <dcterms:created xsi:type="dcterms:W3CDTF">2019-05-08T15:54:13Z</dcterms:created>
  <dcterms:modified xsi:type="dcterms:W3CDTF">2023-09-01T21:31:10Z</dcterms:modified>
</cp:coreProperties>
</file>