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drawings/drawing6.xml" ContentType="application/vnd.openxmlformats-officedocument.drawing+xml"/>
  <Override PartName="/xl/comments5.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magalvarez\OneDrive - mineducacion.gov.co\Documents\CONTRATACIÓN\2023\CASOS ASIGNADOS\CONVENIOS DE COOPERACIÓN\2023-1316- ASCUN\D. Descargados\"/>
    </mc:Choice>
  </mc:AlternateContent>
  <xr:revisionPtr revIDLastSave="0" documentId="8_{232E12A3-A962-4559-8E0B-A40B1B56B54F}" xr6:coauthVersionLast="47" xr6:coauthVersionMax="47" xr10:uidLastSave="{00000000-0000-0000-0000-000000000000}"/>
  <bookViews>
    <workbookView xWindow="-24120" yWindow="2610" windowWidth="24240" windowHeight="13140" tabRatio="927" firstSheet="2" activeTab="6" xr2:uid="{00000000-000D-0000-FFFF-FFFF00000000}"/>
  </bookViews>
  <sheets>
    <sheet name="Solicitud Información Cotizante" sheetId="10" state="hidden" r:id="rId1"/>
    <sheet name="Detalle de costos sin ajuste" sheetId="1" r:id="rId2"/>
    <sheet name="historico MEN" sheetId="16" r:id="rId3"/>
    <sheet name="A. mercado_ gestión Editorial  " sheetId="12" r:id="rId4"/>
    <sheet name="Gtos administración_ viaticos" sheetId="15" r:id="rId5"/>
    <sheet name="Analisis de mercado_ honorarios" sheetId="11" r:id="rId6"/>
    <sheet name="comparativo" sheetId="19" r:id="rId7"/>
    <sheet name="Eventos y herramientas " sheetId="14" r:id="rId8"/>
    <sheet name="TRAYECTOS" sheetId="17" state="hidden" r:id="rId9"/>
    <sheet name="Hoja3" sheetId="18" state="hidden" r:id="rId10"/>
    <sheet name="presupuesto proyectado MEN  " sheetId="13" state="hidden" r:id="rId11"/>
    <sheet name="plazo del contrato" sheetId="8" state="hidden" r:id="rId12"/>
    <sheet name="Hoja1" sheetId="3" state="hidden" r:id="rId13"/>
  </sheets>
  <definedNames>
    <definedName name="_xlnm.Print_Area" localSheetId="1">'Detalle de costos sin ajuste'!$A$1:$K$124</definedName>
    <definedName name="_xlnm.Print_Area" localSheetId="0">'Solicitud Información Cotizante'!$A$1:$D$23</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0" i="14" l="1"/>
  <c r="I20" i="14"/>
  <c r="H20" i="14"/>
  <c r="F7" i="12"/>
  <c r="H7" i="12"/>
  <c r="G7" i="12"/>
  <c r="S54" i="19"/>
  <c r="T54" i="19" s="1"/>
  <c r="R54" i="19" s="1"/>
  <c r="R53" i="19"/>
  <c r="S52" i="19"/>
  <c r="T51" i="19"/>
  <c r="R51" i="19" s="1"/>
  <c r="S51" i="19"/>
  <c r="S49" i="19"/>
  <c r="Q42" i="19"/>
  <c r="AD38" i="19"/>
  <c r="R38" i="19"/>
  <c r="R40" i="19" s="1"/>
  <c r="O35" i="19"/>
  <c r="L35" i="19"/>
  <c r="I35" i="19"/>
  <c r="F35" i="19"/>
  <c r="P33" i="19"/>
  <c r="M33" i="19"/>
  <c r="J33" i="19"/>
  <c r="AD32" i="19"/>
  <c r="Q32" i="19"/>
  <c r="G32" i="19"/>
  <c r="P31" i="19"/>
  <c r="M31" i="19"/>
  <c r="G31" i="19"/>
  <c r="AD29" i="19"/>
  <c r="Q29" i="19"/>
  <c r="AE29" i="19" s="1"/>
  <c r="O29" i="19"/>
  <c r="L29" i="19"/>
  <c r="I29" i="19"/>
  <c r="F29" i="19"/>
  <c r="AD28" i="19"/>
  <c r="Q28" i="19"/>
  <c r="AE28" i="19" s="1"/>
  <c r="O28" i="19"/>
  <c r="L28" i="19"/>
  <c r="I28" i="19"/>
  <c r="F28" i="19"/>
  <c r="AD27" i="19"/>
  <c r="Q27" i="19"/>
  <c r="AE27" i="19" s="1"/>
  <c r="O27" i="19"/>
  <c r="L27" i="19"/>
  <c r="I27" i="19"/>
  <c r="I30" i="19" s="1"/>
  <c r="F27" i="19"/>
  <c r="W25" i="19"/>
  <c r="X25" i="19" s="1"/>
  <c r="O25" i="19"/>
  <c r="O32" i="19" s="1"/>
  <c r="J25" i="19"/>
  <c r="J30" i="19" s="1"/>
  <c r="J31" i="19" s="1"/>
  <c r="G25" i="19"/>
  <c r="G30" i="19" s="1"/>
  <c r="AD24" i="19"/>
  <c r="Q24" i="19"/>
  <c r="AE24" i="19" s="1"/>
  <c r="I24" i="19"/>
  <c r="F24" i="19"/>
  <c r="AD23" i="19"/>
  <c r="W23" i="19"/>
  <c r="X23" i="19" s="1"/>
  <c r="Q23" i="19"/>
  <c r="AE23" i="19" s="1"/>
  <c r="L23" i="19"/>
  <c r="I23" i="19"/>
  <c r="F23" i="19"/>
  <c r="AD22" i="19"/>
  <c r="Q22" i="19"/>
  <c r="R22" i="19" s="1"/>
  <c r="L22" i="19"/>
  <c r="I22" i="19"/>
  <c r="F22" i="19"/>
  <c r="AD21" i="19"/>
  <c r="Q21" i="19"/>
  <c r="AE21" i="19" s="1"/>
  <c r="L21" i="19"/>
  <c r="I21" i="19"/>
  <c r="F21" i="19"/>
  <c r="AD20" i="19"/>
  <c r="Q20" i="19"/>
  <c r="AE20" i="19" s="1"/>
  <c r="L20" i="19"/>
  <c r="I20" i="19"/>
  <c r="F20" i="19"/>
  <c r="AD19" i="19"/>
  <c r="Q19" i="19"/>
  <c r="AE19" i="19" s="1"/>
  <c r="L19" i="19"/>
  <c r="I19" i="19"/>
  <c r="F19" i="19"/>
  <c r="J17" i="19"/>
  <c r="I17" i="19"/>
  <c r="G17" i="19"/>
  <c r="F17" i="19"/>
  <c r="AD5" i="19"/>
  <c r="Q5" i="19"/>
  <c r="R5" i="19" s="1"/>
  <c r="O5" i="19"/>
  <c r="L5" i="19"/>
  <c r="AD4" i="19"/>
  <c r="Q4" i="19"/>
  <c r="AE4" i="19" s="1"/>
  <c r="O4" i="19"/>
  <c r="L4" i="19"/>
  <c r="L30" i="19" l="1"/>
  <c r="O30" i="19"/>
  <c r="O31" i="19" s="1"/>
  <c r="O33" i="19" s="1"/>
  <c r="O38" i="19" s="1"/>
  <c r="O43" i="19" s="1"/>
  <c r="I25" i="19"/>
  <c r="I32" i="19" s="1"/>
  <c r="R19" i="19"/>
  <c r="F25" i="19"/>
  <c r="R21" i="19"/>
  <c r="R23" i="19"/>
  <c r="F30" i="19"/>
  <c r="L17" i="19"/>
  <c r="L25" i="19"/>
  <c r="G33" i="19"/>
  <c r="G35" i="19"/>
  <c r="AE30" i="19"/>
  <c r="R42" i="19"/>
  <c r="R4" i="19"/>
  <c r="R17" i="19" s="1"/>
  <c r="AE5" i="19"/>
  <c r="R20" i="19"/>
  <c r="AE22" i="19"/>
  <c r="AE25" i="19" s="1"/>
  <c r="Z23" i="19"/>
  <c r="AA23" i="19" s="1"/>
  <c r="R24" i="19"/>
  <c r="Z25" i="19"/>
  <c r="AA25" i="19" s="1"/>
  <c r="R27" i="19"/>
  <c r="R28" i="19"/>
  <c r="R29" i="19"/>
  <c r="F31" i="19" l="1"/>
  <c r="F33" i="19" s="1"/>
  <c r="F38" i="19" s="1"/>
  <c r="F43" i="19" s="1"/>
  <c r="P39" i="19"/>
  <c r="P40" i="19" s="1"/>
  <c r="O39" i="19" s="1"/>
  <c r="L32" i="19"/>
  <c r="AE17" i="19"/>
  <c r="AE31" i="19" s="1"/>
  <c r="I31" i="19"/>
  <c r="I33" i="19" s="1"/>
  <c r="R25" i="19"/>
  <c r="L31" i="19"/>
  <c r="L33" i="19" s="1"/>
  <c r="L38" i="19" s="1"/>
  <c r="T52" i="19" s="1"/>
  <c r="R52" i="19" s="1"/>
  <c r="R30" i="19"/>
  <c r="I34" i="19"/>
  <c r="AB23" i="19"/>
  <c r="G39" i="19"/>
  <c r="G40" i="19" s="1"/>
  <c r="V48" i="19"/>
  <c r="I38" i="19" l="1"/>
  <c r="R31" i="19"/>
  <c r="R32" i="19" s="1"/>
  <c r="L43" i="19"/>
  <c r="M39" i="19" s="1"/>
  <c r="M40" i="19" s="1"/>
  <c r="L39" i="19" s="1"/>
  <c r="T49" i="19"/>
  <c r="I43" i="19"/>
  <c r="J39" i="19" s="1"/>
  <c r="S48" i="19"/>
  <c r="T48" i="19" s="1"/>
  <c r="R48" i="19" s="1"/>
  <c r="F39" i="19"/>
  <c r="R33" i="19" l="1"/>
  <c r="J40" i="19"/>
  <c r="I39" i="19" s="1"/>
  <c r="S50" i="19"/>
  <c r="T50" i="19" s="1"/>
  <c r="R49" i="19" s="1"/>
  <c r="J16" i="1" l="1"/>
  <c r="G18" i="14" l="1"/>
  <c r="G17" i="14"/>
  <c r="G35" i="14"/>
  <c r="G34" i="14"/>
  <c r="G33" i="14"/>
  <c r="G32" i="14"/>
  <c r="G29" i="14"/>
  <c r="F9" i="11"/>
  <c r="F6" i="11"/>
  <c r="J42" i="1" l="1"/>
  <c r="F7" i="11"/>
  <c r="J26" i="1" l="1"/>
  <c r="J25" i="1"/>
  <c r="J22" i="1"/>
  <c r="H14" i="12"/>
  <c r="F5" i="12" s="1"/>
  <c r="I13" i="12"/>
  <c r="F15" i="12"/>
  <c r="F14" i="12"/>
  <c r="H3" i="12" l="1"/>
  <c r="F32" i="1" s="1"/>
  <c r="H4" i="12"/>
  <c r="F33" i="1" s="1"/>
  <c r="J33" i="1" s="1"/>
  <c r="H6" i="12"/>
  <c r="F35" i="1" s="1"/>
  <c r="I8" i="11" l="1"/>
  <c r="I14" i="11"/>
  <c r="I16" i="11"/>
  <c r="I17" i="11"/>
  <c r="G25" i="1" l="1"/>
  <c r="G22" i="1"/>
  <c r="G16" i="1"/>
  <c r="F16" i="11"/>
  <c r="G42" i="16"/>
  <c r="G41" i="16"/>
  <c r="G36" i="16"/>
  <c r="G35" i="16"/>
  <c r="G39" i="16" l="1"/>
  <c r="G34" i="16"/>
  <c r="G30" i="16"/>
  <c r="G29" i="16"/>
  <c r="G27" i="16"/>
  <c r="G23" i="16"/>
  <c r="G22" i="16"/>
  <c r="G21" i="16"/>
  <c r="G25" i="16" s="1"/>
  <c r="G17" i="16"/>
  <c r="G16" i="16"/>
  <c r="G15" i="16"/>
  <c r="G12" i="16"/>
  <c r="G10" i="16"/>
  <c r="G40" i="16"/>
  <c r="F42" i="16"/>
  <c r="G33" i="16"/>
  <c r="G11" i="16"/>
  <c r="G24" i="16"/>
  <c r="F117" i="17"/>
  <c r="G117" i="17" s="1"/>
  <c r="C117" i="17"/>
  <c r="H104" i="17"/>
  <c r="G104" i="17"/>
  <c r="F96" i="17"/>
  <c r="G96" i="17" s="1"/>
  <c r="E86" i="17"/>
  <c r="E85" i="17"/>
  <c r="E84" i="17"/>
  <c r="E83" i="17"/>
  <c r="E82" i="17"/>
  <c r="E78" i="17"/>
  <c r="E77" i="17"/>
  <c r="E76" i="17"/>
  <c r="E75" i="17"/>
  <c r="E74" i="17"/>
  <c r="E70" i="17"/>
  <c r="E69" i="17"/>
  <c r="I66" i="17" s="1"/>
  <c r="E68" i="17"/>
  <c r="E67" i="17"/>
  <c r="E66" i="17"/>
  <c r="E62" i="17"/>
  <c r="E61" i="17"/>
  <c r="E60" i="17"/>
  <c r="E59" i="17"/>
  <c r="E58" i="17"/>
  <c r="B40" i="17"/>
  <c r="C40" i="17" s="1"/>
  <c r="F40" i="17" s="1"/>
  <c r="C39" i="17"/>
  <c r="F39" i="17" s="1"/>
  <c r="B39" i="17"/>
  <c r="B38" i="17"/>
  <c r="B37" i="17"/>
  <c r="B36" i="17"/>
  <c r="C36" i="17" s="1"/>
  <c r="F36" i="17" s="1"/>
  <c r="G32" i="17"/>
  <c r="H32" i="17" s="1"/>
  <c r="E32" i="17"/>
  <c r="E31" i="17"/>
  <c r="E30" i="17"/>
  <c r="E29" i="17"/>
  <c r="G29" i="17" s="1"/>
  <c r="H29" i="17" s="1"/>
  <c r="G28" i="17"/>
  <c r="H28" i="17" s="1"/>
  <c r="E28" i="17"/>
  <c r="H22" i="17"/>
  <c r="D22" i="17"/>
  <c r="J22" i="17" s="1"/>
  <c r="F12" i="11" l="1"/>
  <c r="F15" i="11"/>
  <c r="F11" i="11"/>
  <c r="F10" i="11"/>
  <c r="F13" i="11"/>
  <c r="G37" i="16"/>
  <c r="F8" i="11" s="1"/>
  <c r="D94" i="17"/>
  <c r="F97" i="17"/>
  <c r="C97" i="17"/>
  <c r="F118" i="17"/>
  <c r="C118" i="17"/>
  <c r="G118" i="17" s="1"/>
  <c r="C115" i="17"/>
  <c r="G31" i="17"/>
  <c r="H31" i="17" s="1"/>
  <c r="C38" i="17"/>
  <c r="F38" i="17" s="1"/>
  <c r="G30" i="17"/>
  <c r="H30" i="17" s="1"/>
  <c r="C37" i="17"/>
  <c r="F37" i="17" s="1"/>
  <c r="F119" i="17" l="1"/>
  <c r="C119" i="17"/>
  <c r="D115" i="17"/>
  <c r="G97" i="17"/>
  <c r="C98" i="17" l="1"/>
  <c r="G98" i="17" s="1"/>
  <c r="F94" i="17" s="1"/>
  <c r="G94" i="17" s="1"/>
  <c r="E94" i="17"/>
  <c r="F98" i="17"/>
  <c r="G119" i="17"/>
  <c r="E115" i="17" s="1"/>
  <c r="G9" i="16" l="1"/>
  <c r="F25" i="16"/>
  <c r="F13" i="16"/>
  <c r="G13" i="16" l="1"/>
  <c r="H5" i="12" l="1"/>
  <c r="F34" i="1" s="1"/>
  <c r="J45" i="1"/>
  <c r="J34" i="1" l="1"/>
  <c r="H15" i="11"/>
  <c r="H16" i="11"/>
  <c r="H17" i="11"/>
  <c r="H27" i="1"/>
  <c r="I27" i="1"/>
  <c r="H36" i="1"/>
  <c r="I36" i="1"/>
  <c r="I15" i="11" l="1"/>
  <c r="G24" i="1"/>
  <c r="J24" i="1" s="1"/>
  <c r="J19" i="15"/>
  <c r="I18" i="14" l="1"/>
  <c r="F44" i="1" s="1"/>
  <c r="J44" i="1" s="1"/>
  <c r="I17" i="14"/>
  <c r="F43" i="1" s="1"/>
  <c r="J43" i="1" s="1"/>
  <c r="I19" i="14" l="1"/>
  <c r="I16" i="14"/>
  <c r="S46" i="13" l="1"/>
  <c r="T46" i="13" s="1"/>
  <c r="R46" i="13" s="1"/>
  <c r="R45" i="13"/>
  <c r="S44" i="13"/>
  <c r="S43" i="13"/>
  <c r="T43" i="13" s="1"/>
  <c r="R43" i="13" s="1"/>
  <c r="S41" i="13"/>
  <c r="Q34" i="13"/>
  <c r="R32" i="13"/>
  <c r="AD30" i="13"/>
  <c r="R30" i="13"/>
  <c r="R34" i="13" s="1"/>
  <c r="O27" i="13"/>
  <c r="L27" i="13"/>
  <c r="I27" i="13"/>
  <c r="F27" i="13"/>
  <c r="P25" i="13"/>
  <c r="M25" i="13"/>
  <c r="J25" i="13"/>
  <c r="AD24" i="13"/>
  <c r="Q24" i="13"/>
  <c r="G24" i="13"/>
  <c r="P23" i="13"/>
  <c r="M23" i="13"/>
  <c r="G23" i="13"/>
  <c r="I22" i="13"/>
  <c r="AE21" i="13"/>
  <c r="AD21" i="13"/>
  <c r="Q21" i="13"/>
  <c r="R21" i="13" s="1"/>
  <c r="O21" i="13"/>
  <c r="L21" i="13"/>
  <c r="I21" i="13"/>
  <c r="F21" i="13"/>
  <c r="AE20" i="13"/>
  <c r="AD20" i="13"/>
  <c r="Q20" i="13"/>
  <c r="R20" i="13" s="1"/>
  <c r="O20" i="13"/>
  <c r="L20" i="13"/>
  <c r="I20" i="13"/>
  <c r="F20" i="13"/>
  <c r="AE19" i="13"/>
  <c r="AE22" i="13" s="1"/>
  <c r="AD19" i="13"/>
  <c r="Q19" i="13"/>
  <c r="R19" i="13" s="1"/>
  <c r="R22" i="13" s="1"/>
  <c r="O19" i="13"/>
  <c r="O22" i="13" s="1"/>
  <c r="O23" i="13" s="1"/>
  <c r="L19" i="13"/>
  <c r="L22" i="13" s="1"/>
  <c r="I19" i="13"/>
  <c r="F19" i="13"/>
  <c r="F22" i="13" s="1"/>
  <c r="W17" i="13"/>
  <c r="X17" i="13" s="1"/>
  <c r="O17" i="13"/>
  <c r="O24" i="13" s="1"/>
  <c r="J17" i="13"/>
  <c r="J22" i="13" s="1"/>
  <c r="J23" i="13" s="1"/>
  <c r="G17" i="13"/>
  <c r="G22" i="13" s="1"/>
  <c r="AE16" i="13"/>
  <c r="AD16" i="13"/>
  <c r="Q16" i="13"/>
  <c r="R16" i="13" s="1"/>
  <c r="I16" i="13"/>
  <c r="F16" i="13"/>
  <c r="AD15" i="13"/>
  <c r="W15" i="13"/>
  <c r="X15" i="13" s="1"/>
  <c r="R15" i="13"/>
  <c r="Q15" i="13"/>
  <c r="AE15" i="13" s="1"/>
  <c r="L15" i="13"/>
  <c r="I15" i="13"/>
  <c r="F15" i="13"/>
  <c r="AD14" i="13"/>
  <c r="Q14" i="13"/>
  <c r="AE14" i="13" s="1"/>
  <c r="L14" i="13"/>
  <c r="I14" i="13"/>
  <c r="F14" i="13"/>
  <c r="AE13" i="13"/>
  <c r="AD13" i="13"/>
  <c r="Q13" i="13"/>
  <c r="R13" i="13" s="1"/>
  <c r="L13" i="13"/>
  <c r="I13" i="13"/>
  <c r="F13" i="13"/>
  <c r="AE12" i="13"/>
  <c r="AE17" i="13" s="1"/>
  <c r="AD12" i="13"/>
  <c r="Q12" i="13"/>
  <c r="R12" i="13" s="1"/>
  <c r="L12" i="13"/>
  <c r="I12" i="13"/>
  <c r="I17" i="13" s="1"/>
  <c r="F12" i="13"/>
  <c r="AE11" i="13"/>
  <c r="AD11" i="13"/>
  <c r="R11" i="13"/>
  <c r="Q11" i="13"/>
  <c r="L11" i="13"/>
  <c r="L17" i="13" s="1"/>
  <c r="I11" i="13"/>
  <c r="F11" i="13"/>
  <c r="F17" i="13" s="1"/>
  <c r="J9" i="13"/>
  <c r="I9" i="13"/>
  <c r="G9" i="13"/>
  <c r="AE8" i="13"/>
  <c r="AD8" i="13"/>
  <c r="Q8" i="13"/>
  <c r="R8" i="13" s="1"/>
  <c r="O8" i="13"/>
  <c r="L8" i="13"/>
  <c r="Q7" i="13"/>
  <c r="AE7" i="13" s="1"/>
  <c r="F7" i="13"/>
  <c r="F9" i="13" s="1"/>
  <c r="AD6" i="13"/>
  <c r="Q6" i="13"/>
  <c r="AE6" i="13" s="1"/>
  <c r="AD5" i="13"/>
  <c r="Q5" i="13"/>
  <c r="AE5" i="13" s="1"/>
  <c r="O5" i="13"/>
  <c r="L5" i="13"/>
  <c r="AE4" i="13"/>
  <c r="AD4" i="13"/>
  <c r="Q4" i="13"/>
  <c r="R4" i="13" s="1"/>
  <c r="O4" i="13"/>
  <c r="L4" i="13"/>
  <c r="L9" i="13" s="1"/>
  <c r="Z15" i="13" l="1"/>
  <c r="AA15" i="13"/>
  <c r="R17" i="13"/>
  <c r="I24" i="13"/>
  <c r="I23" i="13"/>
  <c r="G25" i="13"/>
  <c r="G27" i="13"/>
  <c r="F23" i="13"/>
  <c r="F25" i="13" s="1"/>
  <c r="F30" i="13" s="1"/>
  <c r="L24" i="13"/>
  <c r="L23" i="13"/>
  <c r="L25" i="13" s="1"/>
  <c r="L30" i="13" s="1"/>
  <c r="AE9" i="13"/>
  <c r="AE23" i="13" s="1"/>
  <c r="Z17" i="13"/>
  <c r="AA17" i="13"/>
  <c r="O25" i="13"/>
  <c r="O30" i="13" s="1"/>
  <c r="R5" i="13"/>
  <c r="R9" i="13" s="1"/>
  <c r="R23" i="13" s="1"/>
  <c r="R6" i="13"/>
  <c r="R14" i="13"/>
  <c r="R25" i="13" l="1"/>
  <c r="R24" i="13"/>
  <c r="L35" i="13"/>
  <c r="M31" i="13" s="1"/>
  <c r="M32" i="13" s="1"/>
  <c r="L31" i="13" s="1"/>
  <c r="T44" i="13"/>
  <c r="R44" i="13" s="1"/>
  <c r="AB15" i="13"/>
  <c r="P31" i="13"/>
  <c r="P32" i="13" s="1"/>
  <c r="O31" i="13" s="1"/>
  <c r="O35" i="13"/>
  <c r="F35" i="13"/>
  <c r="I25" i="13"/>
  <c r="G31" i="13" l="1"/>
  <c r="G32" i="13" s="1"/>
  <c r="V40" i="13"/>
  <c r="I26" i="13"/>
  <c r="I30" i="13" s="1"/>
  <c r="T41" i="13" l="1"/>
  <c r="I35" i="13"/>
  <c r="J31" i="13" s="1"/>
  <c r="S40" i="13"/>
  <c r="T40" i="13" s="1"/>
  <c r="R40" i="13" s="1"/>
  <c r="F31" i="13"/>
  <c r="J32" i="13" l="1"/>
  <c r="I31" i="13" s="1"/>
  <c r="S42" i="13"/>
  <c r="T42" i="13" s="1"/>
  <c r="R41" i="13"/>
  <c r="H13" i="11" l="1"/>
  <c r="H12" i="11"/>
  <c r="H11" i="11"/>
  <c r="H10" i="11"/>
  <c r="H9" i="11"/>
  <c r="H8" i="11"/>
  <c r="H6" i="11"/>
  <c r="G18" i="1" l="1"/>
  <c r="J18" i="1" s="1"/>
  <c r="I10" i="11"/>
  <c r="G19" i="1"/>
  <c r="J19" i="1" s="1"/>
  <c r="I11" i="11"/>
  <c r="G20" i="1"/>
  <c r="J20" i="1" s="1"/>
  <c r="I12" i="11"/>
  <c r="I9" i="11"/>
  <c r="G17" i="1"/>
  <c r="J17" i="1" s="1"/>
  <c r="G21" i="1"/>
  <c r="J21" i="1" s="1"/>
  <c r="I13" i="11"/>
  <c r="I6" i="11"/>
  <c r="G14" i="1"/>
  <c r="J14" i="1" s="1"/>
  <c r="J64" i="1"/>
  <c r="J46" i="1" l="1"/>
  <c r="J37" i="1" l="1"/>
  <c r="F31" i="16"/>
  <c r="G28" i="16"/>
  <c r="G31" i="16"/>
  <c r="H7" i="11"/>
  <c r="I7" i="11" l="1"/>
  <c r="G15" i="1"/>
  <c r="J15" i="1" s="1"/>
  <c r="F19" i="16"/>
  <c r="F43" i="16" s="1"/>
  <c r="G18" i="16" l="1"/>
  <c r="G19" i="16" s="1"/>
  <c r="F14" i="11" s="1"/>
  <c r="H14" i="11" s="1"/>
  <c r="G27" i="1" s="1"/>
  <c r="J28" i="1"/>
  <c r="H18" i="11"/>
  <c r="J48" i="1" l="1"/>
  <c r="F54" i="1" l="1"/>
  <c r="J50" i="1"/>
  <c r="G56" i="1" s="1"/>
  <c r="G57" i="1" s="1"/>
  <c r="G59" i="1" s="1"/>
  <c r="G60" i="1" l="1"/>
  <c r="G66" i="1"/>
  <c r="F70" i="1" l="1"/>
  <c r="G72" i="1" s="1"/>
  <c r="G7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tc={FB12280F-A532-4529-8FB7-D7F23599AF50}</author>
  </authors>
  <commentList>
    <comment ref="G18" authorId="0" shapeId="0" xr:uid="{FB12280F-A532-4529-8FB7-D7F23599AF5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Este valor se toma teniendo  cómo referencia los valores del contrato con la UCC que contiene actividades similares  CO1.PCCNTR.24804008. Tidos a valor presente neto con el IPC para 2023 y redondeado a 40 millones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Giovanny Garzon Gil</author>
  </authors>
  <commentList>
    <comment ref="G5" authorId="0" shapeId="0" xr:uid="{3FE59F29-7D01-48AF-86A1-2ABABB218927}">
      <text>
        <r>
          <rPr>
            <b/>
            <sz val="10"/>
            <color rgb="FF000000"/>
            <rFont val="Tahoma"/>
            <family val="2"/>
          </rPr>
          <t>Para una persona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Geber Rafarel Tatis Pastrana</author>
  </authors>
  <commentList>
    <comment ref="F32" authorId="0" shapeId="0" xr:uid="{453F426B-8CAE-4B34-B336-B6465B665048}">
      <text>
        <r>
          <rPr>
            <b/>
            <sz val="10"/>
            <color rgb="FF000000"/>
            <rFont val="Tahoma"/>
            <family val="2"/>
          </rPr>
          <t>Geber Rafarel Tatis Pastrana:</t>
        </r>
        <r>
          <rPr>
            <sz val="10"/>
            <color rgb="FF000000"/>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tc={D34DF2CE-7C3C-4789-9B00-C0D7333EAE3E}</author>
    <author>Giovanny Garzon Gil</author>
  </authors>
  <commentList>
    <comment ref="G15" authorId="0" shapeId="0" xr:uid="{D34DF2CE-7C3C-4789-9B00-C0D7333EAE3E}">
      <text>
        <t>[Comentario encadenado]
Su versión de Excel le permite leer este comentario encadenado; sin embargo, las ediciones que se apliquen se quitarán si el archivo se abre en una versión más reciente de Excel. Más información: https://go.microsoft.com/fwlink/?linkid=870924
Comentario:
    Este valor se toma teniendo  cómo referencia los valores del contrato de Salud mental 4714568 de 2023</t>
      </text>
    </comment>
    <comment ref="H15" authorId="1" shapeId="0" xr:uid="{C0351EA5-569E-49CA-99AD-5C72E6577A1B}">
      <text>
        <r>
          <rPr>
            <b/>
            <sz val="10"/>
            <color rgb="FF000000"/>
            <rFont val="Tahoma"/>
            <family val="2"/>
          </rPr>
          <t>Para una persona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Geber Rafarel Tatis Pastrana</author>
  </authors>
  <commentList>
    <comment ref="F24" authorId="0" shapeId="0" xr:uid="{32CB532B-4619-4BA6-9134-3D68E15066B2}">
      <text>
        <r>
          <rPr>
            <b/>
            <sz val="10"/>
            <color rgb="FF000000"/>
            <rFont val="Tahoma"/>
            <family val="2"/>
          </rPr>
          <t>Geber Rafarel Tatis Pastrana:</t>
        </r>
        <r>
          <rPr>
            <sz val="10"/>
            <color rgb="FF000000"/>
            <rFont val="Tahoma"/>
            <family val="2"/>
          </rPr>
          <t xml:space="preserve">
</t>
        </r>
      </text>
    </comment>
  </commentList>
</comments>
</file>

<file path=xl/sharedStrings.xml><?xml version="1.0" encoding="utf-8"?>
<sst xmlns="http://schemas.openxmlformats.org/spreadsheetml/2006/main" count="843" uniqueCount="393">
  <si>
    <t>Ministerio de Educación Nacional</t>
  </si>
  <si>
    <t>SUBDIRECCIÓN DE APOYO A LAS INSTITUCIONES DE EDUCACIÓN SUPERIOR</t>
  </si>
  <si>
    <t>Invitación a participar al Estudio de Mercado sin generación de vinculo.</t>
  </si>
  <si>
    <t>Ver anexo técnico antes del diligenciamiento</t>
  </si>
  <si>
    <t>EXPERIENCIA EN PROYECTOS SIMILARES</t>
  </si>
  <si>
    <r>
      <rPr>
        <b/>
        <sz val="12"/>
        <color theme="1"/>
        <rFont val="Calibri"/>
        <family val="2"/>
        <scheme val="minor"/>
      </rPr>
      <t>d) Experiencia en contratación con el Estado.</t>
    </r>
    <r>
      <rPr>
        <sz val="12"/>
        <color theme="1"/>
        <rFont val="Calibri"/>
        <family val="2"/>
        <scheme val="minor"/>
      </rPr>
      <t xml:space="preserve">
</t>
    </r>
  </si>
  <si>
    <t xml:space="preserve">Convenio o contrato </t>
  </si>
  <si>
    <t xml:space="preserve">Descripción del obejto o actividades </t>
  </si>
  <si>
    <t>Valor en SMMLV actuales</t>
  </si>
  <si>
    <t>Invitación a Estudio de Mercado sin generación de vinculo.</t>
  </si>
  <si>
    <t xml:space="preserve">A - COSTO DE RECURSO HUMANO </t>
  </si>
  <si>
    <t>Item</t>
  </si>
  <si>
    <t>DESCRIPCIÓN</t>
  </si>
  <si>
    <t xml:space="preserve">CANTIDAD </t>
  </si>
  <si>
    <t>PLAZO DE EJECUCIÓN (Meses)</t>
  </si>
  <si>
    <t>DEDICACIÓN (%)</t>
  </si>
  <si>
    <t>ASIGNACIÓN MENSUAL</t>
  </si>
  <si>
    <t xml:space="preserve"> TOTAL</t>
  </si>
  <si>
    <t>SubTotal (A)</t>
  </si>
  <si>
    <t>B - GESTIÓN EDITORIAL</t>
  </si>
  <si>
    <t>Concepto</t>
  </si>
  <si>
    <t>Cant
(1)</t>
  </si>
  <si>
    <t>Und Medida</t>
  </si>
  <si>
    <t>Valor unitario
(2)</t>
  </si>
  <si>
    <t>Tiempo ejecución - Meses (3)</t>
  </si>
  <si>
    <t>SubTotal =
(1)*(2)*(3)</t>
  </si>
  <si>
    <t>TRABAJO EDITORAL Y PREPARACIÓN DE LA PUBLICACIÓN</t>
  </si>
  <si>
    <t>Global</t>
  </si>
  <si>
    <t>N/A</t>
  </si>
  <si>
    <t>CORRECCIÓN DE ESTILO</t>
  </si>
  <si>
    <t>DISEÑO Y REGISTRO EN CAMARA COLOMBIANA DEL LIBRO</t>
  </si>
  <si>
    <t>SubTotal (B)</t>
  </si>
  <si>
    <t>C - OTROS COSTOS DIRECTOS</t>
  </si>
  <si>
    <t>Tiempo ejecución - un día</t>
  </si>
  <si>
    <t>unidad</t>
  </si>
  <si>
    <t>SubTotal (C)</t>
  </si>
  <si>
    <t>SubTotal (A + B)</t>
  </si>
  <si>
    <t>SubTotal (A + B + C)</t>
  </si>
  <si>
    <t>D - COSTO DE ADMINISTRACIÓN</t>
  </si>
  <si>
    <t>%</t>
  </si>
  <si>
    <t>GASTOS DE ADMINISTRACION (MAXIMO)</t>
  </si>
  <si>
    <t>SubTotal (A + B + C + D )</t>
  </si>
  <si>
    <t>IVA</t>
  </si>
  <si>
    <t>Valor parcial propuesta económica</t>
  </si>
  <si>
    <t>SubTotal (A + B + C + D) + IVA</t>
  </si>
  <si>
    <t>E - BOLSA</t>
  </si>
  <si>
    <t>Valor
(2)</t>
  </si>
  <si>
    <t>NA</t>
  </si>
  <si>
    <t>Valor Propuesta Económica</t>
  </si>
  <si>
    <t>E - CONTRAPARTIDA</t>
  </si>
  <si>
    <t xml:space="preserve">Aporte de contrapartida </t>
  </si>
  <si>
    <t>Valor proyectado de contrapartida</t>
  </si>
  <si>
    <t>LA CONTRAPARTIDA DEBE SER DEL 30% O MÁS EN EFECTIVO</t>
  </si>
  <si>
    <t>SI</t>
  </si>
  <si>
    <t>Valor contrapartida en efectivo</t>
  </si>
  <si>
    <t xml:space="preserve">Valor Total de la propuesta </t>
  </si>
  <si>
    <t>Atentamente,</t>
  </si>
  <si>
    <t>Firma del representante legal o su apoderado</t>
  </si>
  <si>
    <t>Nombres y apellidos del representante legal o su apoderado</t>
  </si>
  <si>
    <t>Identificación del representante legal o su apoderado</t>
  </si>
  <si>
    <t>NIT y Nombre de la Empresa</t>
  </si>
  <si>
    <t>Dirección y Telefóno de la Empresa</t>
  </si>
  <si>
    <t>Nombre, correo y telefono de la persona de contacto para el proyecto</t>
  </si>
  <si>
    <t>PLAZO DEL CONTRATO</t>
  </si>
  <si>
    <t>Plazo inicial</t>
  </si>
  <si>
    <t>MATRICULA</t>
  </si>
  <si>
    <t>Fecha de inicio trabajo campo</t>
  </si>
  <si>
    <t>Fecha de terminación  trabajo campo</t>
  </si>
  <si>
    <t>PLANTA FOCALIZADA</t>
  </si>
  <si>
    <t>Fecha de inicio  trabajo campo</t>
  </si>
  <si>
    <t>IES</t>
  </si>
  <si>
    <t>IETDH</t>
  </si>
  <si>
    <t>Plazo final</t>
  </si>
  <si>
    <t>Equipos operación $</t>
  </si>
  <si>
    <t>Honorarios personal auditor $</t>
  </si>
  <si>
    <t>Gastos Transporte $</t>
  </si>
  <si>
    <t>Gastos viáticos $</t>
  </si>
  <si>
    <t>Gastos  correo certificado $</t>
  </si>
  <si>
    <t>Costos Directos $</t>
  </si>
  <si>
    <t>Otros costos asociados $</t>
  </si>
  <si>
    <t>Grupo de Fomento al acceso y permanencia a la Educación Superior</t>
  </si>
  <si>
    <r>
      <rPr>
        <b/>
        <i/>
        <sz val="11"/>
        <color theme="1"/>
        <rFont val="Arial"/>
        <family val="2"/>
      </rPr>
      <t xml:space="preserve">Propuesta técnica y económica para: </t>
    </r>
    <r>
      <rPr>
        <b/>
        <sz val="11"/>
        <color theme="1"/>
        <rFont val="Arial"/>
        <family val="2"/>
      </rPr>
      <t xml:space="preserve">
AUNAR ESFUERZOS TÉCNICOS, ADMINISTRATIVOS Y FINANCIEROS PARA ASESORAR Y ACOMPAÑAR AL MINISTERIO EN EL PROCESO DE ACTUALIZACIÓN DE LA GUÍA DEL MODELO DE PERMANENCIA Y LA CONSTRUCCIÓN DE HERRAMIENTAS DE ORIENTACIÓN SOCIO OCUPACIONAL EN CLAVE DE TRAYECTORIA EDUCATIVA.
</t>
    </r>
  </si>
  <si>
    <t>Coordinador del proyecto</t>
  </si>
  <si>
    <t>Asistente Administrativo</t>
  </si>
  <si>
    <t>Analista de información</t>
  </si>
  <si>
    <t xml:space="preserve">Profesional de campo </t>
  </si>
  <si>
    <t>APORTE MEN</t>
  </si>
  <si>
    <t>APORTE ALIADO</t>
  </si>
  <si>
    <t>EVENTOS REGIONALES</t>
  </si>
  <si>
    <t>b)Experiencia en contrucción de lineamientos, orientaciones, guías en temas realcionados con estrategias de permanencia y graduación estudiantil en la educación superior</t>
  </si>
  <si>
    <t>c) Experiencia editorial.</t>
  </si>
  <si>
    <r>
      <rPr>
        <b/>
        <sz val="12"/>
        <color theme="1"/>
        <rFont val="Calibri"/>
        <family val="2"/>
        <scheme val="minor"/>
      </rPr>
      <t>d) Desarrollo de eventos académicos locales y nacional.</t>
    </r>
    <r>
      <rPr>
        <sz val="12"/>
        <color theme="1"/>
        <rFont val="Calibri"/>
        <family val="2"/>
        <scheme val="minor"/>
      </rPr>
      <t xml:space="preserve">
</t>
    </r>
  </si>
  <si>
    <t>Relacionar descripción de propuesta de materiales a desarrollar para nueva guía del modelo de la permanencia en la educación superior</t>
  </si>
  <si>
    <t xml:space="preserve">Relacionar descripción de propuesta de nuevas herramientas para la Orientación socio ocupacional en la educación superior </t>
  </si>
  <si>
    <r>
      <rPr>
        <b/>
        <i/>
        <sz val="14"/>
        <color theme="1"/>
        <rFont val="Arial"/>
        <family val="2"/>
      </rPr>
      <t>Propuesta técnica y económica para:</t>
    </r>
    <r>
      <rPr>
        <b/>
        <sz val="14"/>
        <color theme="1"/>
        <rFont val="Arial"/>
        <family val="2"/>
      </rPr>
      <t xml:space="preserve"> AUNAR ESFUERZOS TÉCNICOS, ADMINISTRATIVOS Y FINANCIEROS PARA ASESORAR Y ACOMPAÑAR AL MINISTERIO EN EL PROCESO DE ACTUALIZACIÓN DE LA GUÍA DEL MODELO DE PERMANENCIA Y LA CONSTRUCCIÓN DE HERRAMIENTAS DE ORIENTACIÓN SOCIO OCUPACIONAL EN CLAVE DE TRAYECTORIA EDUCATIVA.</t>
    </r>
  </si>
  <si>
    <t>PROPUESTA DE BANCO DE HERRAMIENTAS PARA IMPLEMENTACIÓN DE ESTRATEGIAS INNOVADORAS DE PERMANENCIA CON ESTUDIANTES AL INTERIOR DE LAS IES DEL PAIS</t>
  </si>
  <si>
    <r>
      <rPr>
        <b/>
        <sz val="14"/>
        <color theme="1"/>
        <rFont val="Arial"/>
        <family val="2"/>
      </rPr>
      <t>Relacionar experiencia específica en  actividades relacionadas con</t>
    </r>
    <r>
      <rPr>
        <sz val="14"/>
        <color theme="1"/>
        <rFont val="Arial"/>
        <family val="2"/>
      </rPr>
      <t>: 
a) Experiencia investigativa y práctica en temas relacionados con la Acompañamiento Estudiantil, Abandono Estudiantil,  acompañamiento estudiantil, orientación socio ocupacional  
b)Experiencia en contrucción de lineamientos, orientaciones, guías en temas realcionados con estrategias de permanencia y graduación estudiantil en la educación superior
c) Experiencia editorial
d) Desarrollo de eventos académicos locales y nacional
e) Experiencia en contratación con el Estado</t>
    </r>
  </si>
  <si>
    <t xml:space="preserve">REGISTRO FOTOGRAFICO DE LOS ENCUENTROS Y ACTIVIDADES QUE DOCUMENTE EL PROOYECTO, ASÍ COMO LAS FOTOGRAFÍAS QUE REQUIERA  EL DOCUMENTO FINAL </t>
  </si>
  <si>
    <t>Experto asesor en estrategias de permanencia acompañamiento Estudiantil, abandono Estudiantil en la educación superior</t>
  </si>
  <si>
    <t>Experto asesor en construcción e implementación de Políticas públicas, sociales, educativas</t>
  </si>
  <si>
    <t>Experto asesor en estrategias de acompañamiento estudiantil en temas relacionado con salud mental en la educación superior</t>
  </si>
  <si>
    <t>Experto asesor en temas relacionados con la Orientación Socio ocupacional y procesos de acompañamiento a estudiantes en la educación superior</t>
  </si>
  <si>
    <t>Experto asesor en temas relacionados equidad de género en la educación superior</t>
  </si>
  <si>
    <t>EVENTO PRINCIPAL DE CIERRE Y  SOCIALIZACIÓN DEL DOCUMENTO FINAL</t>
  </si>
  <si>
    <r>
      <t xml:space="preserve">
a) Experiencia investigativa y práctica en temas relacionados con la Acompañamiento Estudiantil, Abandono Estudiantil,  acompañamiento estudiantil, orientación socio ocupacional .</t>
    </r>
    <r>
      <rPr>
        <sz val="12"/>
        <color theme="2" tint="-0.249977111117893"/>
        <rFont val="Calibri"/>
        <family val="2"/>
        <scheme val="minor"/>
      </rPr>
      <t xml:space="preserve">
</t>
    </r>
    <r>
      <rPr>
        <sz val="12"/>
        <color theme="1"/>
        <rFont val="Calibri"/>
        <family val="2"/>
        <scheme val="minor"/>
      </rPr>
      <t xml:space="preserve">
</t>
    </r>
    <r>
      <rPr>
        <b/>
        <sz val="12"/>
        <color theme="1"/>
        <rFont val="Calibri"/>
        <family val="2"/>
        <scheme val="minor"/>
      </rPr>
      <t xml:space="preserve">
</t>
    </r>
    <r>
      <rPr>
        <sz val="12"/>
        <color theme="1"/>
        <rFont val="Calibri"/>
        <family val="2"/>
        <scheme val="minor"/>
      </rPr>
      <t xml:space="preserve">
</t>
    </r>
  </si>
  <si>
    <r>
      <t xml:space="preserve">**La base para la liquidación del IVA excluye la bolsa de reembolsables la cual contiene en sí el valor correspondiente a dicho tributo.
</t>
    </r>
    <r>
      <rPr>
        <b/>
        <sz val="10"/>
        <rFont val="Arial"/>
        <family val="2"/>
      </rPr>
      <t>NOTA N° 1:</t>
    </r>
    <r>
      <rPr>
        <sz val="10"/>
        <rFont val="Arial"/>
        <family val="2"/>
      </rPr>
      <t xml:space="preserve"> Las ofertas se presentarán en pesos colombianos.
</t>
    </r>
    <r>
      <rPr>
        <b/>
        <sz val="10"/>
        <rFont val="Arial"/>
        <family val="2"/>
      </rPr>
      <t>NOTA N° 2:</t>
    </r>
    <r>
      <rPr>
        <sz val="10"/>
        <rFont val="Arial"/>
        <family val="2"/>
      </rPr>
      <t xml:space="preserve"> El presente formato debe diligenciarse por el proponente, de conformidad con las condiciones establecidas en el presente formato.
</t>
    </r>
    <r>
      <rPr>
        <b/>
        <sz val="10"/>
        <rFont val="Arial"/>
        <family val="2"/>
      </rPr>
      <t>NOTA N° 3:</t>
    </r>
    <r>
      <rPr>
        <sz val="10"/>
        <rFont val="Arial"/>
        <family val="2"/>
      </rPr>
      <t xml:space="preserve"> 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En caso de que difiera el valor de la propuesta reportada en el formulario de la plataforma y el valor del presente formato, la oferta será rechazada.
</t>
    </r>
    <r>
      <rPr>
        <b/>
        <sz val="10"/>
        <rFont val="Arial"/>
        <family val="2"/>
      </rPr>
      <t xml:space="preserve">NOTA N° 4: </t>
    </r>
    <r>
      <rPr>
        <sz val="10"/>
        <rFont val="Arial"/>
        <family val="2"/>
      </rPr>
      <t xml:space="preserve">En caso de presentarse cualquier discrepancia entre los diferentes valores presentados, el MEN podrá hacer correcciones y para ello tomará como valor inmodificable el valor unitario base (antes de IVA) del bien o servicio incluido en su cotización. 
</t>
    </r>
    <r>
      <rPr>
        <b/>
        <sz val="10"/>
        <rFont val="Arial"/>
        <family val="2"/>
      </rPr>
      <t>NOTA N° 5:</t>
    </r>
    <r>
      <rPr>
        <sz val="10"/>
        <rFont val="Arial"/>
        <family val="2"/>
      </rPr>
      <t xml:space="preserve"> El valor correspondiente a los gastos reembolsables es fijo e inmodificable y por tanto el proponente no ofertará sobre dicho rubro, así mismo, el IVA se considera incluido en dicho valor, por lo cual la cifra no es tenida en cuenta como base para su liquidación en el presupuesto.
</t>
    </r>
    <r>
      <rPr>
        <b/>
        <sz val="10"/>
        <rFont val="Arial"/>
        <family val="2"/>
      </rPr>
      <t>NOTA Nª 6</t>
    </r>
    <r>
      <rPr>
        <sz val="10"/>
        <rFont val="Arial"/>
        <family val="2"/>
      </rPr>
      <t xml:space="preserve"> Esta invitación a cotizar no genera vinculo y debe entenderse como una exploración de mercado.
</t>
    </r>
    <r>
      <rPr>
        <b/>
        <sz val="10"/>
        <rFont val="Arial"/>
        <family val="2"/>
      </rPr>
      <t>NOTA   N°  7</t>
    </r>
    <r>
      <rPr>
        <sz val="10"/>
        <rFont val="Arial"/>
        <family val="2"/>
      </rPr>
      <t xml:space="preserve"> Plazo máximo aproximado 5 meses sin exceder la fecha estimada del 30 de noviembre de 2023 para la entrega final.
</t>
    </r>
    <r>
      <rPr>
        <b/>
        <sz val="10"/>
        <rFont val="Arial"/>
        <family val="2"/>
      </rPr>
      <t>NOTA  N° 8</t>
    </r>
    <r>
      <rPr>
        <sz val="10"/>
        <rFont val="Arial"/>
        <family val="2"/>
      </rPr>
      <t xml:space="preserve"> El proponente  debe manifestar de manera expresa si está sujeto o no a IVA con base en las normas tributarias que les apliquen.</t>
    </r>
  </si>
  <si>
    <t>PROPUESTA DE  HERRAMIENTAS  PARA ORIENTACIÓN SOCIO OCUPACIONAL EN LA EDUCACIÓN SUPERIOR</t>
  </si>
  <si>
    <t>BOLSA DE VIÁTICOS, TIQUETES , EVENTOS PARA DESARROLLO DE TRABAJOS EN LAS UNIVERSIDADES.</t>
  </si>
  <si>
    <t xml:space="preserve">Experto asesor en pedagogia </t>
  </si>
  <si>
    <t xml:space="preserve">Asesor en comunicaciones </t>
  </si>
  <si>
    <t xml:space="preserve">Acompañamiento academico red Permencia Academica y Bienestar Universitario ASCUN </t>
  </si>
  <si>
    <t>PERFIL</t>
  </si>
  <si>
    <t xml:space="preserve">Experiencia en anexo Calusulado </t>
  </si>
  <si>
    <t>Experiencia en Resiolución de honorarios</t>
  </si>
  <si>
    <t>VALOR  MEN</t>
  </si>
  <si>
    <r>
      <rPr>
        <b/>
        <sz val="9"/>
        <color theme="1"/>
        <rFont val="Calibri"/>
        <family val="2"/>
        <scheme val="minor"/>
      </rPr>
      <t>Estudios:</t>
    </r>
    <r>
      <rPr>
        <sz val="9"/>
        <color theme="1"/>
        <rFont val="Calibri"/>
        <family val="2"/>
        <scheme val="minor"/>
      </rPr>
      <t xml:space="preserve"> Título Profesional en alguno de los siguientes núcleos básicos de conocimiento: Economía, Administración, Matemáticas y Estadística, Ciencias Sociales, Ingenierías y afines. 
</t>
    </r>
    <r>
      <rPr>
        <b/>
        <sz val="9"/>
        <color theme="1"/>
        <rFont val="Calibri"/>
        <family val="2"/>
        <scheme val="minor"/>
      </rPr>
      <t>Experiencia:</t>
    </r>
    <r>
      <rPr>
        <sz val="9"/>
        <color theme="1"/>
        <rFont val="Calibri"/>
        <family val="2"/>
        <scheme val="minor"/>
      </rPr>
      <t xml:space="preserve"> Mínimo un año temas relacionados con gestión de proyectos, administración y/o finanzas.</t>
    </r>
  </si>
  <si>
    <r>
      <t xml:space="preserve">•	Estudios: </t>
    </r>
    <r>
      <rPr>
        <sz val="9"/>
        <color theme="1"/>
        <rFont val="Calibri"/>
        <family val="2"/>
        <scheme val="minor"/>
      </rPr>
      <t>Título Profesional Universitario en uno de los siguientes pregrados: Matemáticas o Economía o Estadística o afines, ingeniería de sistemas, telemática o afines, o ingeniería electrónica o Ingeniería Industrial.</t>
    </r>
    <r>
      <rPr>
        <b/>
        <sz val="9"/>
        <color theme="1"/>
        <rFont val="Calibri"/>
        <family val="2"/>
        <scheme val="minor"/>
      </rPr>
      <t xml:space="preserve">
Título de posgrado: </t>
    </r>
    <r>
      <rPr>
        <sz val="9"/>
        <color theme="1"/>
        <rFont val="Calibri"/>
        <family val="2"/>
        <scheme val="minor"/>
      </rPr>
      <t>Análisis y minería de datos, Analítica estratégica de datos.</t>
    </r>
    <r>
      <rPr>
        <b/>
        <sz val="9"/>
        <color theme="1"/>
        <rFont val="Calibri"/>
        <family val="2"/>
        <scheme val="minor"/>
      </rPr>
      <t xml:space="preserve">
Experiencia: </t>
    </r>
    <r>
      <rPr>
        <sz val="9"/>
        <color theme="1"/>
        <rFont val="Calibri"/>
        <family val="2"/>
        <scheme val="minor"/>
      </rPr>
      <t>Mínimo 29 meses de Experiencia profesional relacionada con el procesamiento, análisis de información cualitativa y cuantitativa en proyectos de investigación en derechos educación y/o proyectos sociales.</t>
    </r>
  </si>
  <si>
    <r>
      <t xml:space="preserve">Estudios: </t>
    </r>
    <r>
      <rPr>
        <sz val="9"/>
        <color theme="1"/>
        <rFont val="Calibri"/>
        <family val="2"/>
        <scheme val="minor"/>
      </rPr>
      <t xml:space="preserve">Título Profesional en alguno de los siguientes Núcleos Básicos de Conocimiento: Educación, Economía, Administración, Derecho, Ciencias Sociales y humanas, Ingenierías y afines, Ciencia política, relaciones internacionales. </t>
    </r>
    <r>
      <rPr>
        <b/>
        <sz val="9"/>
        <color theme="1"/>
        <rFont val="Calibri"/>
        <family val="2"/>
        <scheme val="minor"/>
      </rPr>
      <t xml:space="preserve">
Título de posgrado en alguno de los siguientes Núcleos Básicos de Conocimiento:</t>
    </r>
    <r>
      <rPr>
        <sz val="9"/>
        <color theme="1"/>
        <rFont val="Calibri"/>
        <family val="2"/>
        <scheme val="minor"/>
      </rPr>
      <t xml:space="preserve"> Educación, Economía, Administración, Derecho, Ciencias Sociales, Ingenierías y afines, Ciencia política, relaciones internacionales. Este título es homologable con experiencia en 2 años adicionales de experiencia en áreas relacionadas.</t>
    </r>
    <r>
      <rPr>
        <b/>
        <sz val="9"/>
        <color theme="1"/>
        <rFont val="Calibri"/>
        <family val="2"/>
        <scheme val="minor"/>
      </rPr>
      <t xml:space="preserve">
Experiencia: </t>
    </r>
    <r>
      <rPr>
        <sz val="9"/>
        <color theme="1"/>
        <rFont val="Calibri"/>
        <family val="2"/>
        <scheme val="minor"/>
      </rPr>
      <t>Mínimo 5 años de experiencia reconocida como asesor y /o consultor en temas relacionados con Acompañamiento Estudiantil, Abandono Estudiantil.</t>
    </r>
  </si>
  <si>
    <r>
      <t xml:space="preserve">Estudios: </t>
    </r>
    <r>
      <rPr>
        <sz val="9"/>
        <color theme="1"/>
        <rFont val="Calibri"/>
        <family val="2"/>
        <scheme val="minor"/>
      </rPr>
      <t>Título Profesional en alguno de los siguientes Núcleos Básicos de Conocimiento: Educación, Economía, Administración, Derecho, Ciencias Sociales y humanas, Ingenierías y afines, Ciencia política, Educación</t>
    </r>
    <r>
      <rPr>
        <b/>
        <sz val="9"/>
        <color theme="1"/>
        <rFont val="Calibri"/>
        <family val="2"/>
        <scheme val="minor"/>
      </rPr>
      <t xml:space="preserve">. 
Título de posgrado </t>
    </r>
    <r>
      <rPr>
        <sz val="9"/>
        <color theme="1"/>
        <rFont val="Calibri"/>
        <family val="2"/>
        <scheme val="minor"/>
      </rPr>
      <t>en alguno de los siguientes Núcleos Básicos de Conocimiento: Educación, Economía, Administración, Derecho, Ciencias Sociales, Ingenierías y afines, Ciencia política. Este título es homologable con experiencia en 2 años adicionales de experiencia en áreas relacionadas.</t>
    </r>
    <r>
      <rPr>
        <b/>
        <sz val="9"/>
        <color theme="1"/>
        <rFont val="Calibri"/>
        <family val="2"/>
        <scheme val="minor"/>
      </rPr>
      <t xml:space="preserve">
Experiencia: </t>
    </r>
    <r>
      <rPr>
        <sz val="9"/>
        <color theme="1"/>
        <rFont val="Calibri"/>
        <family val="2"/>
        <scheme val="minor"/>
      </rPr>
      <t>Mínimo 5 años de experiencia reconocida como asesor y /o consultor en temas relacionados con en construcción e implementación de Políticas públicas, sociales, educativa.</t>
    </r>
  </si>
  <si>
    <r>
      <t xml:space="preserve">Estudios: </t>
    </r>
    <r>
      <rPr>
        <sz val="9"/>
        <color theme="1"/>
        <rFont val="Calibri"/>
        <family val="2"/>
        <scheme val="minor"/>
      </rPr>
      <t xml:space="preserve">Título Profesional en alguno de los siguientes Núcleos Básicos de Conocimiento: Educación, Economía, Administración, Derecho, Ciencias Sociales y humanas, Ingenierías y afines, Ciencia política, relaciones internacionales. </t>
    </r>
    <r>
      <rPr>
        <b/>
        <sz val="9"/>
        <color theme="1"/>
        <rFont val="Calibri"/>
        <family val="2"/>
        <scheme val="minor"/>
      </rPr>
      <t xml:space="preserve">
Título de posgrado </t>
    </r>
    <r>
      <rPr>
        <sz val="9"/>
        <color theme="1"/>
        <rFont val="Calibri"/>
        <family val="2"/>
        <scheme val="minor"/>
      </rPr>
      <t>en alguno de los siguientes Núcleos Básicos de Conocimiento: Educación, Economía, Administración, Derecho, Ciencias Sociales, Ingenierías y afines, Ciencia política, relaciones internacionales. Este título es homologable con experiencia en 2 años adicionales de experiencia en áreas relacionadas.</t>
    </r>
    <r>
      <rPr>
        <b/>
        <sz val="9"/>
        <color theme="1"/>
        <rFont val="Calibri"/>
        <family val="2"/>
        <scheme val="minor"/>
      </rPr>
      <t xml:space="preserve">
Experiencia: </t>
    </r>
    <r>
      <rPr>
        <sz val="9"/>
        <color theme="1"/>
        <rFont val="Calibri"/>
        <family val="2"/>
        <scheme val="minor"/>
      </rPr>
      <t>Mínimo 5 años de experiencia reconocida como asesor y /o consultor en temas relacionado con salud mental en la educación superior.</t>
    </r>
  </si>
  <si>
    <r>
      <t>Estudios:</t>
    </r>
    <r>
      <rPr>
        <sz val="9"/>
        <color theme="1"/>
        <rFont val="Calibri"/>
        <family val="2"/>
        <scheme val="minor"/>
      </rPr>
      <t xml:space="preserve"> Título Profesional en alguno de los siguientes Núcleos Básicos de Conocimiento: Educación, Economía, Administración, Derecho, Ciencias Sociales, Ingenierías y afines, Ciencia política, relaciones internacionales. </t>
    </r>
    <r>
      <rPr>
        <b/>
        <sz val="9"/>
        <color theme="1"/>
        <rFont val="Calibri"/>
        <family val="2"/>
        <scheme val="minor"/>
      </rPr>
      <t xml:space="preserve">
Título de posgrado </t>
    </r>
    <r>
      <rPr>
        <sz val="9"/>
        <color theme="1"/>
        <rFont val="Calibri"/>
        <family val="2"/>
        <scheme val="minor"/>
      </rPr>
      <t>en alguno de los siguientes Núcleos Básicos de Conocimiento: Educación, Economía, Administración, Derecho, Ciencias Sociales, Ingenierías y afines, Ciencia política, relaciones internacionales. Este título es homologable con experiencia en 2 años adicionales de experiencia en áreas relacionadas.</t>
    </r>
    <r>
      <rPr>
        <b/>
        <sz val="9"/>
        <color theme="1"/>
        <rFont val="Calibri"/>
        <family val="2"/>
        <scheme val="minor"/>
      </rPr>
      <t xml:space="preserve">
Experiencia: </t>
    </r>
    <r>
      <rPr>
        <sz val="9"/>
        <color theme="1"/>
        <rFont val="Calibri"/>
        <family val="2"/>
        <scheme val="minor"/>
      </rPr>
      <t>Mínimo 5 años de experiencia reconocida como asesor y /o consultor en temas relacionados equidad de género en la educación superior.</t>
    </r>
  </si>
  <si>
    <r>
      <t xml:space="preserve">Estudios: </t>
    </r>
    <r>
      <rPr>
        <sz val="9"/>
        <color theme="1"/>
        <rFont val="Calibri"/>
        <family val="2"/>
        <scheme val="minor"/>
      </rPr>
      <t xml:space="preserve">Título Profesional en alguno de los siguientes Núcleos Básicos de Conocimiento: Educación, Economía, Administración, Derecho, Ciencias Sociales y humanas, Ingenierías y afines, Ciencia política, relaciones internacionales. </t>
    </r>
    <r>
      <rPr>
        <b/>
        <sz val="9"/>
        <color theme="1"/>
        <rFont val="Calibri"/>
        <family val="2"/>
        <scheme val="minor"/>
      </rPr>
      <t xml:space="preserve">
Título de posgrado en alguno de los siguientes Núcleos Básicos de Conocimiento: </t>
    </r>
    <r>
      <rPr>
        <sz val="9"/>
        <color theme="1"/>
        <rFont val="Calibri"/>
        <family val="2"/>
        <scheme val="minor"/>
      </rPr>
      <t>Educación, Economía, Administración, Derecho, Ciencias Sociales, Ingenierías y afines, Ciencia política, relaciones internacionales. Este título es homologable con experiencia en 2 años adicionales de experiencia en áreas relacionadas.</t>
    </r>
    <r>
      <rPr>
        <b/>
        <sz val="9"/>
        <color theme="1"/>
        <rFont val="Calibri"/>
        <family val="2"/>
        <scheme val="minor"/>
      </rPr>
      <t xml:space="preserve">
Experiencia:</t>
    </r>
    <r>
      <rPr>
        <sz val="9"/>
        <color theme="1"/>
        <rFont val="Calibri"/>
        <family val="2"/>
        <scheme val="minor"/>
      </rPr>
      <t xml:space="preserve"> Mínimo 5 años de experiencia reconocida como asesor y /o consultor en temas relacionados con la Orientación Socio ocupacional y acompañamientos a estudiantes para la permanencia en la educación superior.</t>
    </r>
  </si>
  <si>
    <r>
      <t>Estudios: T</t>
    </r>
    <r>
      <rPr>
        <sz val="9"/>
        <color theme="1"/>
        <rFont val="Calibri"/>
        <family val="2"/>
        <scheme val="minor"/>
      </rPr>
      <t>ítulo Profesional en alguno de los siguientes Núcleos Básicos de conocimiento: Educación, Economía, Administración, Derecho, Ingenierías, Ciencias Sociales y afines, Ciencia política, relaciones internacionales.</t>
    </r>
    <r>
      <rPr>
        <b/>
        <sz val="9"/>
        <color theme="1"/>
        <rFont val="Calibri"/>
        <family val="2"/>
        <scheme val="minor"/>
      </rPr>
      <t xml:space="preserve">
Experiencia: </t>
    </r>
    <r>
      <rPr>
        <sz val="9"/>
        <color theme="1"/>
        <rFont val="Calibri"/>
        <family val="2"/>
        <scheme val="minor"/>
      </rPr>
      <t>Mínimo 3 años en temas y/o relacionados con formulación, implementación o, seguimiento de proyectos en educación superior y/o sociales.</t>
    </r>
  </si>
  <si>
    <t>VALOR COTIZADO</t>
  </si>
  <si>
    <t>VALOR PROMEDIO</t>
  </si>
  <si>
    <t xml:space="preserve">Titulo profesional 36 meses de experiencia profesional </t>
  </si>
  <si>
    <t xml:space="preserve">Descripción </t>
  </si>
  <si>
    <t>Cantidad</t>
  </si>
  <si>
    <t>Meses</t>
  </si>
  <si>
    <t>COTIZACIÓN 1</t>
  </si>
  <si>
    <t>COTIZACIÓN 2</t>
  </si>
  <si>
    <t>COTIZACIÓN 3</t>
  </si>
  <si>
    <t>COTIZACIÓN 4</t>
  </si>
  <si>
    <t xml:space="preserve">PROMEDIO CUATRO (4) COTIZACIONES </t>
  </si>
  <si>
    <t>PROMEDIO</t>
  </si>
  <si>
    <t>Valor Unidad</t>
  </si>
  <si>
    <t>Total</t>
  </si>
  <si>
    <t>Aporte en efectivo</t>
  </si>
  <si>
    <t>Aporte en Efectivo</t>
  </si>
  <si>
    <t>A - Costo de Recursos Humanos</t>
  </si>
  <si>
    <t>COORDINADOR DEL PROYECTO</t>
  </si>
  <si>
    <t xml:space="preserve">ASISTENTE ADMINISTRATIVO </t>
  </si>
  <si>
    <t>PROFESIONALES EXPERTOS</t>
  </si>
  <si>
    <t>DISEÑADOR</t>
  </si>
  <si>
    <t>Sub Total (A)</t>
  </si>
  <si>
    <t>B -  Gestión editorial</t>
  </si>
  <si>
    <t xml:space="preserve">Se amplia % de dedicación, teniendo en cuenta el cronograma actual del proyecto </t>
  </si>
  <si>
    <t>Información</t>
  </si>
  <si>
    <t>Valor inicial</t>
  </si>
  <si>
    <t>%IPC 2020</t>
  </si>
  <si>
    <t>Valor</t>
  </si>
  <si>
    <t xml:space="preserve">Total </t>
  </si>
  <si>
    <t>%IPC 2021</t>
  </si>
  <si>
    <t>Promedio</t>
  </si>
  <si>
    <t xml:space="preserve">FOTOGRAFÍAS </t>
  </si>
  <si>
    <t>Proyecto</t>
  </si>
  <si>
    <t>ICP</t>
  </si>
  <si>
    <t>IPC</t>
  </si>
  <si>
    <t>Valor con IPC</t>
  </si>
  <si>
    <t>proy 2020</t>
  </si>
  <si>
    <t>Sub Total (B)</t>
  </si>
  <si>
    <t xml:space="preserve"> proy 2020</t>
  </si>
  <si>
    <t>C -  Otros costos directos</t>
  </si>
  <si>
    <t>proy 2022</t>
  </si>
  <si>
    <t>EVENTOS REGIONALES DE SOCIALIZACIÓN</t>
  </si>
  <si>
    <t>PROPUESTA DE NUEVOS CONTENIDOS PARA BIENESTAR EN TU MENTE</t>
  </si>
  <si>
    <t>EVENTO PRINCIPAL</t>
  </si>
  <si>
    <t>Sub Total (C)</t>
  </si>
  <si>
    <t>Sub Total (A+B+C)</t>
  </si>
  <si>
    <t>(D) GASTOS ADMINISTRATIVOS</t>
  </si>
  <si>
    <t>Sub Total (A+B+C+D)</t>
  </si>
  <si>
    <t xml:space="preserve">(E) BOLSA DE VIÁTICOS y TIQUETES </t>
  </si>
  <si>
    <t>TOTAL PROYECTO INCLUIDO GASTOS ADMINISTRATIVOS</t>
  </si>
  <si>
    <t>Total del Proyecto</t>
  </si>
  <si>
    <t>% DE CONTRAPARTIDA</t>
  </si>
  <si>
    <t>Aporte ESAL</t>
  </si>
  <si>
    <t>Aporte MEN</t>
  </si>
  <si>
    <t>VALOR TOTAL DE LA PROPUESTA</t>
  </si>
  <si>
    <t>Desviación</t>
  </si>
  <si>
    <t>Definición aporte mínimo ESAL</t>
  </si>
  <si>
    <t>Cotizaciones</t>
  </si>
  <si>
    <t>Aporte IES</t>
  </si>
  <si>
    <t>Total propuesta</t>
  </si>
  <si>
    <t>Propuesta 1</t>
  </si>
  <si>
    <t>Tipo aporte</t>
  </si>
  <si>
    <t>Propuesta 2</t>
  </si>
  <si>
    <t>Efectivo</t>
  </si>
  <si>
    <t>Propuesta 3</t>
  </si>
  <si>
    <t>Especie</t>
  </si>
  <si>
    <t>Propuesta 4</t>
  </si>
  <si>
    <t>Propuesta 5</t>
  </si>
  <si>
    <t>Propuesta 6</t>
  </si>
  <si>
    <t>VALOR  UNITARIO COTIZADO</t>
  </si>
  <si>
    <t>VALOR UNITARIO HISTÓRICO MEN</t>
  </si>
  <si>
    <r>
      <t>VALOR UNITARIO</t>
    </r>
    <r>
      <rPr>
        <b/>
        <sz val="8"/>
        <color rgb="FFFF0000"/>
        <rFont val="Arial"/>
        <family val="2"/>
      </rPr>
      <t>*</t>
    </r>
    <r>
      <rPr>
        <b/>
        <sz val="8"/>
        <color theme="1"/>
        <rFont val="Arial"/>
        <family val="2"/>
      </rPr>
      <t xml:space="preserve"> HISTÓRICO MEN</t>
    </r>
  </si>
  <si>
    <t>VPN</t>
  </si>
  <si>
    <r>
      <rPr>
        <b/>
        <sz val="9"/>
        <color rgb="FFFF0000"/>
        <rFont val="Calibri"/>
        <family val="2"/>
        <scheme val="minor"/>
      </rPr>
      <t>*</t>
    </r>
    <r>
      <rPr>
        <b/>
        <sz val="9"/>
        <color theme="1"/>
        <rFont val="Calibri"/>
        <family val="2"/>
        <scheme val="minor"/>
      </rPr>
      <t xml:space="preserve"> Este valor historíco es tomado del contrato de Salud mental /4714568 DE 2023</t>
    </r>
  </si>
  <si>
    <t>Contenidos Orientar</t>
  </si>
  <si>
    <t>Curso en línea para estudiantes</t>
  </si>
  <si>
    <t>Estos cursos incluyen material digital de aprendizaje autodirigido que incluye videos, animaciones, infográficos, actividades formativas y evaluación en línea, (el número y magnitud de los contenidos serán acordados con el MEN, según el presupuesto establecido)</t>
  </si>
  <si>
    <t>Contenidos para alimentar la estrategia Proyecta-T (incluyen material digital de aprendizaje autodirigido que incluye videos, animaciones, infográficos, actividades formativas y evaluación en línea, el número y magnitud de los contenidos serán acordados con el MEN, según el presupuesto establecido)</t>
  </si>
  <si>
    <t xml:space="preserve">Contrato </t>
  </si>
  <si>
    <t>CO1.PCCNTR.2480408</t>
  </si>
  <si>
    <t>Valor total</t>
  </si>
  <si>
    <r>
      <t>Volor 2022</t>
    </r>
    <r>
      <rPr>
        <b/>
        <sz val="8"/>
        <color rgb="FFFF0000"/>
        <rFont val="Arial"/>
        <family val="2"/>
      </rPr>
      <t>**</t>
    </r>
  </si>
  <si>
    <r>
      <rPr>
        <sz val="9"/>
        <color rgb="FFFF0000"/>
        <rFont val="Segoe UI"/>
        <family val="2"/>
      </rPr>
      <t>**</t>
    </r>
    <r>
      <rPr>
        <sz val="9"/>
        <color theme="1"/>
        <rFont val="Segoe UI"/>
        <family val="2"/>
      </rPr>
      <t xml:space="preserve">Este valor se toma teniendo cómo referencia los valores del contrato con la UCC que contiene actividades similares CO1.PCCNTR.24804008. Tidos a valor presente neto con el IPC para 2023 y redondeado a 40 millones </t>
    </r>
  </si>
  <si>
    <t xml:space="preserve">Otros profesionales </t>
  </si>
  <si>
    <t xml:space="preserve">No tenemos referente en ele MEN  de este aporte profesional , Se asume valor cortizado por ASCUN </t>
  </si>
  <si>
    <r>
      <t xml:space="preserve">Estudios: </t>
    </r>
    <r>
      <rPr>
        <sz val="9"/>
        <color theme="1"/>
        <rFont val="Arial Narrow"/>
        <family val="2"/>
      </rPr>
      <t>Título Profesional en comunicación social o publicidad  alguno de los siguientes Núcleos Básicos de conocimiento: EComunicación Social, Periodismo y Afinesn o Publicidad y Afines</t>
    </r>
    <r>
      <rPr>
        <b/>
        <sz val="9"/>
        <color theme="1"/>
        <rFont val="Arial Narrow"/>
        <family val="2"/>
      </rPr>
      <t xml:space="preserve">
Experiencia: </t>
    </r>
    <r>
      <rPr>
        <sz val="9"/>
        <color theme="1"/>
        <rFont val="Arial Narrow"/>
        <family val="2"/>
      </rPr>
      <t>Mínimo de veinticinco (25) meses, en diseño, implementación de estrategias de comunicación.</t>
    </r>
  </si>
  <si>
    <t>Valor TH</t>
  </si>
  <si>
    <t>Valor unitario Histórico MEN *</t>
  </si>
  <si>
    <t xml:space="preserve">SubTotal =
</t>
  </si>
  <si>
    <t>Tiempo ejecución - Meses</t>
  </si>
  <si>
    <t xml:space="preserve">Valor unitario
</t>
  </si>
  <si>
    <t xml:space="preserve">Titulo profesional +12-24 meses de experiencia profesional </t>
  </si>
  <si>
    <t xml:space="preserve">Titulo profesional +especialización +-24-35 meses de experiencia profesional </t>
  </si>
  <si>
    <t>Titulo profesional +25 -36 meses de experiencia</t>
  </si>
  <si>
    <r>
      <t xml:space="preserve">Estudios: </t>
    </r>
    <r>
      <rPr>
        <sz val="9"/>
        <color theme="1"/>
        <rFont val="Arial Narrow"/>
        <family val="2"/>
      </rPr>
      <t>Núcleos Básicos de conocimiento: Educación, Ciencias Sociales y afines</t>
    </r>
    <r>
      <rPr>
        <b/>
        <sz val="9"/>
        <color theme="1"/>
        <rFont val="Arial Narrow"/>
        <family val="2"/>
      </rPr>
      <t xml:space="preserve">
Experiencia: </t>
    </r>
    <r>
      <rPr>
        <sz val="9"/>
        <color theme="1"/>
        <rFont val="Arial Narrow"/>
        <family val="2"/>
      </rPr>
      <t>Mínimo de veinticinco (25) meses, en diseño, implementación de estrategias de comunicación.</t>
    </r>
  </si>
  <si>
    <t xml:space="preserve">Titulo profesional +especialización+24 a 35 meses de experiencia profesional </t>
  </si>
  <si>
    <t>Análisis de Mercado</t>
  </si>
  <si>
    <t>METODOLOGÍA</t>
  </si>
  <si>
    <t>Cotejo de valor mensual de salarios y actividades, para identificar precios de mercado</t>
  </si>
  <si>
    <t>Rubro</t>
  </si>
  <si>
    <t xml:space="preserve">TALENTO HUMANO MINIMO REQUERIDO </t>
  </si>
  <si>
    <t>Contratista</t>
  </si>
  <si>
    <t>Contrato</t>
  </si>
  <si>
    <t>Talento Humano Requerido</t>
  </si>
  <si>
    <t xml:space="preserve">Nombre Genérico </t>
  </si>
  <si>
    <t>Valor Mensual</t>
  </si>
  <si>
    <t>Coordinador Nacional - Gerente de proyecto</t>
  </si>
  <si>
    <t>Directivo</t>
  </si>
  <si>
    <t>CO1.PCCNTR.3410358</t>
  </si>
  <si>
    <t>CO1.PCCNTR.3415073</t>
  </si>
  <si>
    <t>Consejo Noruego para Refugiados</t>
  </si>
  <si>
    <t>CO1.PCCNTR.2580977</t>
  </si>
  <si>
    <t>Profesional Especializado</t>
  </si>
  <si>
    <t>Profesional Lider de Mentorías</t>
  </si>
  <si>
    <t>Profesional de acompañamiento</t>
  </si>
  <si>
    <t>Profesional de articulador</t>
  </si>
  <si>
    <t>Asistencial</t>
  </si>
  <si>
    <t>Asistente técnico financiero</t>
  </si>
  <si>
    <t>CO1.PCCNTR.3195927</t>
  </si>
  <si>
    <t>Asistente técnico administrativo y financiero</t>
  </si>
  <si>
    <t>Universidad del Valle 2022</t>
  </si>
  <si>
    <t>Apoyo a la gestión de viajes</t>
  </si>
  <si>
    <t>Universidad EAFIT 2022</t>
  </si>
  <si>
    <t>Asistente Lógistico</t>
  </si>
  <si>
    <t>Promedio general</t>
  </si>
  <si>
    <t>MEN TARIFAS 2023</t>
  </si>
  <si>
    <t>ETAPA</t>
  </si>
  <si>
    <t>ÁREA DE CUALIFICACIÓN</t>
  </si>
  <si>
    <t>AVPP</t>
  </si>
  <si>
    <t>AFIR</t>
  </si>
  <si>
    <t>AGVE</t>
  </si>
  <si>
    <t>ETAL</t>
  </si>
  <si>
    <t>CPSA</t>
  </si>
  <si>
    <t>Bogotá</t>
  </si>
  <si>
    <t>Región</t>
  </si>
  <si>
    <t>Total visitas:</t>
  </si>
  <si>
    <t>Total visitas Bogotá:</t>
  </si>
  <si>
    <t>Total visitas Región:</t>
  </si>
  <si>
    <t>Gran total visitas:</t>
  </si>
  <si>
    <t xml:space="preserve">Desplazamientos </t>
  </si>
  <si>
    <t>Misiones a territorio</t>
  </si>
  <si>
    <t>Valor Unitario</t>
  </si>
  <si>
    <t>Total por sesión</t>
  </si>
  <si>
    <t>No. Sesiones territorio</t>
  </si>
  <si>
    <t>No. Personas por sesión</t>
  </si>
  <si>
    <t>Persona de apoyo a sesiones</t>
  </si>
  <si>
    <t>Desplazamiento</t>
  </si>
  <si>
    <t>Viáticos</t>
  </si>
  <si>
    <t>Análisis valores referentes Resolución 19331 de 2018 y Decreto 460 de 2022</t>
  </si>
  <si>
    <t>Transporte - promedios</t>
  </si>
  <si>
    <t>Ciudades</t>
  </si>
  <si>
    <t>Cantidad Persona</t>
  </si>
  <si>
    <t>Promedio tiquete</t>
  </si>
  <si>
    <t>Ciudad 1</t>
  </si>
  <si>
    <t>Ciudad 2</t>
  </si>
  <si>
    <t>Ciudad 3</t>
  </si>
  <si>
    <t>Ciudad 4</t>
  </si>
  <si>
    <t>Ciudad 5..n</t>
  </si>
  <si>
    <t>Viáticos - con Hospedaje</t>
  </si>
  <si>
    <t>ITEM: Talleres actividades presenciales - Etapa A, B, C y D:</t>
  </si>
  <si>
    <t>Información del Convenio CO1.PCCNTR.3849244 de 2022 MEN - UniMinuto:</t>
  </si>
  <si>
    <t>Unidad</t>
  </si>
  <si>
    <t>Cotización 1</t>
  </si>
  <si>
    <t>Cotización 2</t>
  </si>
  <si>
    <t>Cotización 3</t>
  </si>
  <si>
    <t>Cotización 4</t>
  </si>
  <si>
    <t>Observación</t>
  </si>
  <si>
    <t>Requerimientos actividades presenciales</t>
  </si>
  <si>
    <t>Unitario</t>
  </si>
  <si>
    <t>El promedio de las actividades presenciales de las cotizaciones de 2022 fue de $ 2.125.000 y el valor presentado por el PNUD para el presente proyecto es de $2.000.000, por lo tanto, se considera viable</t>
  </si>
  <si>
    <t>Total por sesión
Proyecto 2023</t>
  </si>
  <si>
    <t>No. Sesiones</t>
  </si>
  <si>
    <t>Análisis valores referentes o estimados para comparar valor por taller</t>
  </si>
  <si>
    <t>Invitaciones, convocatoria y material de apoyo</t>
  </si>
  <si>
    <t>Items</t>
  </si>
  <si>
    <t>Espacios - dotación básica</t>
  </si>
  <si>
    <t>La estimación de costos a partir de ejercicio interno desde el MEN considerando algunos ítems posibles en el desarrollo de los talleres, se estimo un valor un poco mayor al presentado por el PNUD. Por lo tanto, se considera viable el valor presentado por la organización.</t>
  </si>
  <si>
    <t>Refrigerios - promedios</t>
  </si>
  <si>
    <t>Equipos audiovisuales - promedios</t>
  </si>
  <si>
    <t>ITEM: Comunicaciones (Diagramación de 5 cartillas), licencias, software y herramientas virtuales.</t>
  </si>
  <si>
    <t>Análisis valor proyecto PNUD 2020 con IPC:</t>
  </si>
  <si>
    <t xml:space="preserve">Convenio de Cooperación 20200004 de 2020 </t>
  </si>
  <si>
    <t>Valor total 2020</t>
  </si>
  <si>
    <t>Valor unitario 2020</t>
  </si>
  <si>
    <t>Valor unitario con IPC 2020 (1,61%)</t>
  </si>
  <si>
    <t>Valor unitario con IPC 2021 (5,62%)</t>
  </si>
  <si>
    <t>Valor unitario con IPC 2022 (13,12%)</t>
  </si>
  <si>
    <t>Ítem igual: Diagramaciones 3 cartillas, licencias, software.</t>
  </si>
  <si>
    <t>A partir de este análisis el valor presentado por PNUD corresponde a $30.000.000, por lo tanto, es menor al análisis tomando como referencia proyecto 2020 y aplicando IPC. En este caso, el valor para el proyecto 2023 es viable.</t>
  </si>
  <si>
    <t>2021</t>
  </si>
  <si>
    <t>2022</t>
  </si>
  <si>
    <t>Análisis otros valores proyectos con características similares:</t>
  </si>
  <si>
    <t xml:space="preserve">Convenio </t>
  </si>
  <si>
    <t>Descripción del ítem</t>
  </si>
  <si>
    <t>Unidad análisis</t>
  </si>
  <si>
    <t>Valor unitario promedio</t>
  </si>
  <si>
    <t>Valor promedio a 2019</t>
  </si>
  <si>
    <t>Valor promedio proyecto 2023</t>
  </si>
  <si>
    <t xml:space="preserve">Convenio de Asociación 0240 de 2019 suscrito entre el Ministerio de Educación y CET Colsubsidio </t>
  </si>
  <si>
    <t xml:space="preserve">Artes, diseño e impresión de cartilla </t>
  </si>
  <si>
    <t>Arte y diseño de 1 cartilla con impresión de ejemplares</t>
  </si>
  <si>
    <t>A partir de este análisis el valor total presentado por PNUD corresponde a $30.000.000 para 5 cartillas más uso software y herramientas, por lo tanto, tomando un valor unitario referente para el proyecto es de $6.000.000  y al compararlo con un promedio de valores con item de convenios anteriores este valor 2023 es menor en cuanto a la revisión.</t>
  </si>
  <si>
    <t>Convenio de Asociación 0201 de 2019 suscrito entre el Ministerio de Educación y la Cámara Colombiana de la Construcción - CAMACOL</t>
  </si>
  <si>
    <t xml:space="preserve">Diseño, diagramación e impresión de cartilla </t>
  </si>
  <si>
    <t>Total 
Proyecto 2023</t>
  </si>
  <si>
    <t>Valor total proyecto 2023</t>
  </si>
  <si>
    <t>Comunicaciones (Diagramación de 5 cartillas), licencias, software y herramientas virtuales.</t>
  </si>
  <si>
    <t xml:space="preserve">Global </t>
  </si>
  <si>
    <t xml:space="preserve">ITEM: Apoyo en la gestión territorial </t>
  </si>
  <si>
    <t>Valor 2023</t>
  </si>
  <si>
    <t>Ítem igual: Apoyo en la gestión territorial</t>
  </si>
  <si>
    <t xml:space="preserve">la ejecución del anterior proyectó se llevó a cabo durante la pandemia y no se realizaron actividades presenciales, por lo tanto, el acompañamiento se realizó a sesiones virtuales. En este caso, las características de los Convenios son diferentes, por lo tanto, se considera viable el valor presentado al proyecto 2023, teniendo en cuenta el incremento en actividades presenciales y el fortalecimiento de la participación de los actores clave en las diferentes etapas del proyecto. </t>
  </si>
  <si>
    <t xml:space="preserve">Apoyo en la gestión territorial </t>
  </si>
  <si>
    <t>Universidad Cooperativa de Colombia 2022</t>
  </si>
  <si>
    <t xml:space="preserve">Analista de información </t>
  </si>
  <si>
    <t xml:space="preserve">Profesional </t>
  </si>
  <si>
    <t>Comunicador social/publicista</t>
  </si>
  <si>
    <t xml:space="preserve">Profesional Lider de Salud mental </t>
  </si>
  <si>
    <t>Profesional de campo</t>
  </si>
  <si>
    <t>Metodologo en campo</t>
  </si>
  <si>
    <t>Coordinador de proyecto</t>
  </si>
  <si>
    <t>Expertos</t>
  </si>
  <si>
    <t>Profesional científico de datos</t>
  </si>
  <si>
    <t>CO1.PCCNTR.3485169</t>
  </si>
  <si>
    <t>Universidad Nacional de Colombia</t>
  </si>
  <si>
    <t>Ingeniero de sistemas</t>
  </si>
  <si>
    <t>Universidad de la Salle</t>
  </si>
  <si>
    <t>CO1.PCCNTR.2473858</t>
  </si>
  <si>
    <t>Expertos en sistematización de datos</t>
  </si>
  <si>
    <t xml:space="preserve">Universidad Nacional de Colombia 2022 </t>
  </si>
  <si>
    <t xml:space="preserve">Profesional especializada en procesos de acompañamiento para la permanencia </t>
  </si>
  <si>
    <t>Experto/pedagogía/acompañamiento/salud mental</t>
  </si>
  <si>
    <t>ANÁLISIS DEL SECTOR</t>
  </si>
  <si>
    <t xml:space="preserve"> Contrato CO1.PCCNRT 4714568 de salud mental </t>
  </si>
  <si>
    <t xml:space="preserve">Observación </t>
  </si>
  <si>
    <t xml:space="preserve">Valor Histórico para documento de 60 páginas.
El documento se proyecta en 150 páginas teniendo en cuenta la guia actual </t>
  </si>
  <si>
    <t xml:space="preserve">Valor proyectado para estudio previo </t>
  </si>
  <si>
    <r>
      <t xml:space="preserve">        </t>
    </r>
    <r>
      <rPr>
        <b/>
        <sz val="8"/>
        <color rgb="FFC00000"/>
        <rFont val="Arial"/>
        <family val="2"/>
      </rPr>
      <t>Etapa A.</t>
    </r>
    <r>
      <rPr>
        <sz val="8"/>
        <color rgb="FFC00000"/>
        <rFont val="Arial"/>
        <family val="2"/>
      </rPr>
      <t xml:space="preserve"> Contextualización del sector.</t>
    </r>
  </si>
  <si>
    <r>
      <t xml:space="preserve">        </t>
    </r>
    <r>
      <rPr>
        <b/>
        <sz val="8"/>
        <color rgb="FFC00000"/>
        <rFont val="Arial"/>
        <family val="2"/>
      </rPr>
      <t>Etapa B.</t>
    </r>
    <r>
      <rPr>
        <sz val="8"/>
        <color rgb="FFC00000"/>
        <rFont val="Arial"/>
        <family val="2"/>
      </rPr>
      <t xml:space="preserve"> Identificación de brechas de y prospectiva.</t>
    </r>
  </si>
  <si>
    <r>
      <t xml:space="preserve">        </t>
    </r>
    <r>
      <rPr>
        <b/>
        <sz val="8"/>
        <color rgb="FFC00000"/>
        <rFont val="Arial"/>
        <family val="2"/>
      </rPr>
      <t>Etapa D.</t>
    </r>
    <r>
      <rPr>
        <sz val="8"/>
        <color rgb="FFC00000"/>
        <rFont val="Arial"/>
        <family val="2"/>
      </rPr>
      <t xml:space="preserve">  Estructuración de la cualificación.</t>
    </r>
  </si>
  <si>
    <r>
      <t xml:space="preserve">        </t>
    </r>
    <r>
      <rPr>
        <b/>
        <sz val="8"/>
        <color rgb="FFC00000"/>
        <rFont val="Arial"/>
        <family val="2"/>
      </rPr>
      <t>Etapa D.</t>
    </r>
    <r>
      <rPr>
        <sz val="8"/>
        <color rgb="FFC00000"/>
        <rFont val="Arial"/>
        <family val="2"/>
      </rPr>
      <t xml:space="preserve"> Estructuración de la cualificación.</t>
    </r>
  </si>
  <si>
    <t>Valor total 5 Cartillas para 2023</t>
  </si>
  <si>
    <t>página</t>
  </si>
  <si>
    <t xml:space="preserve">Descripción de actividades presenciales en territorio </t>
  </si>
  <si>
    <t xml:space="preserve">EVENTOS DE CO-CREACIÓN </t>
  </si>
  <si>
    <t>Universidad del Valle</t>
  </si>
  <si>
    <t>Dirección del proyecto</t>
  </si>
  <si>
    <t xml:space="preserve">Promedio </t>
  </si>
  <si>
    <t>ÍTEM</t>
  </si>
  <si>
    <t>TIEMPO</t>
  </si>
  <si>
    <t xml:space="preserve">NRO. DE VECES </t>
  </si>
  <si>
    <t>VALOR UNITARIO</t>
  </si>
  <si>
    <t>VALOR TOTAL</t>
  </si>
  <si>
    <t>Gastos de desplazamiento tiquetes (2 visitas x ETC)</t>
  </si>
  <si>
    <t>Gastos de desplazamiento viáticos (2 visitas x EE)</t>
  </si>
  <si>
    <t>Gastos de desplazamiento tiquetes (2 sesiones x EE)</t>
  </si>
  <si>
    <t>Gastos de desplazamiento viáticos (2 sesiones x EE)</t>
  </si>
  <si>
    <t>SUBTOTAL</t>
  </si>
  <si>
    <t>SUBTOTAL COSTOS DIRECTOS DE LA OPERACIÓN</t>
  </si>
  <si>
    <t>D - COSTO DE ADMINISTRACIÓN Y DE GESTIÓN</t>
  </si>
  <si>
    <r>
      <t xml:space="preserve">Estudios: </t>
    </r>
    <r>
      <rPr>
        <sz val="9"/>
        <color theme="1"/>
        <rFont val="Calibri"/>
        <family val="2"/>
        <scheme val="minor"/>
      </rPr>
      <t xml:space="preserve">Título Profesional en alguno de los siguientes Núcleos Básicos de Conocimiento: Educación, Economía, Administración de empresas, Derecho y afines, Ciencias Sociales, Ingenierías y afines, Ciencia política, ciencias de la educación. 
</t>
    </r>
    <r>
      <rPr>
        <b/>
        <sz val="9"/>
        <color theme="1"/>
        <rFont val="Calibri"/>
        <family val="2"/>
        <scheme val="minor"/>
      </rPr>
      <t>Título de posgrado</t>
    </r>
    <r>
      <rPr>
        <sz val="9"/>
        <color theme="1"/>
        <rFont val="Calibri"/>
        <family val="2"/>
        <scheme val="minor"/>
      </rPr>
      <t xml:space="preserve"> en alguno de los siguientes Núcleos Básicos de Conocimiento: Educación, Economía, Administración, Derecho, Ciencias Sociales, Ingenierías y afines, Ciencia política, ciencias de la educación. Este título es homologable con experiencia en 2 años adicionales de experiencia en áreas relacionadas. 
</t>
    </r>
    <r>
      <rPr>
        <b/>
        <sz val="9"/>
        <color theme="1"/>
        <rFont val="Calibri"/>
        <family val="2"/>
        <scheme val="minor"/>
      </rPr>
      <t>Experiencia:</t>
    </r>
    <r>
      <rPr>
        <sz val="9"/>
        <color theme="1"/>
        <rFont val="Calibri"/>
        <family val="2"/>
        <scheme val="minor"/>
      </rPr>
      <t xml:space="preserve"> Mínimo 5 años en temas relacionados con la formulación e implementación de proyectos para la permanencia en la educación superior. Así como experiencia coordinación de equipos de trabajo.</t>
    </r>
  </si>
  <si>
    <t>Titulo profesional +Maestria+60 mese de experiencia profesional de los cuales 12 meses debe ser experiencia relacionada</t>
  </si>
  <si>
    <t xml:space="preserve">Materiales informativos y formativos virtuales para mentores y estudiantes disponibles en la plataforma formativa definida. </t>
  </si>
  <si>
    <t xml:space="preserve">Contenidos para promover la elección de programas técnicos y tecnológicos en los aspirantes a la educación superior y de carreras STEAM por parte de las mujeres; así como contenidos de orientación socio ocupacional para promover el acceso a la educación superior de jóvenes rurales, alojados en el micrositio Proyecta–T. </t>
  </si>
  <si>
    <t xml:space="preserve"> </t>
  </si>
  <si>
    <t>UCC</t>
  </si>
  <si>
    <t>EAFIT</t>
  </si>
  <si>
    <r>
      <t>GA</t>
    </r>
    <r>
      <rPr>
        <sz val="9"/>
        <color theme="1"/>
        <rFont val="Calibri"/>
        <family val="2"/>
        <scheme val="minor"/>
      </rPr>
      <t>STOS DE GESTIÓN ADMINISTRATIVA Y LOGÍSTICA (MAXIMO)</t>
    </r>
  </si>
  <si>
    <t xml:space="preserve">Valor MEN </t>
  </si>
  <si>
    <t>COTIZACIÓN ASCUN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</si>
</sst>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quot;$&quot;\ #,##0_);[Red]\(&quot;$&quot;\ #,##0\)"/>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_ &quot;$&quot;\ * #,##0.00_ ;_ &quot;$&quot;\ * \-#,##0.00_ ;_ &quot;$&quot;\ * &quot;-&quot;??_ ;_ @_ "/>
    <numFmt numFmtId="170" formatCode="_ * #,##0.00_ ;_ * \-#,##0.00_ ;_ * &quot;-&quot;??_ ;_ @_ "/>
    <numFmt numFmtId="171" formatCode="_-* #,##0\ _€_-;\-* #,##0\ _€_-;_-* &quot;-&quot;??\ _€_-;_-@_-"/>
    <numFmt numFmtId="172" formatCode="[$$-240A]\ #,##0"/>
    <numFmt numFmtId="173" formatCode="&quot;$&quot;\ #,##0.00"/>
    <numFmt numFmtId="174" formatCode="_-&quot;$&quot;\ * #,##0_-;\-&quot;$&quot;\ * #,##0_-;_-&quot;$&quot;\ * &quot;-&quot;??_-;_-@_-"/>
    <numFmt numFmtId="175" formatCode="_-* #,##0.0_-;\-* #,##0.0_-;_-* &quot;-&quot;??_-;_-@_-"/>
    <numFmt numFmtId="176" formatCode="&quot;$&quot;\ #,##0"/>
    <numFmt numFmtId="177" formatCode="#,##0_ ;\-#,##0\ "/>
    <numFmt numFmtId="178" formatCode="_-* #,##0_-;\-* #,##0_-;_-* &quot;-&quot;??_-;_-@_-"/>
    <numFmt numFmtId="179" formatCode="_(&quot;$&quot;\ * #,##0_);_(&quot;$&quot;\ * \(#,##0\);_(&quot;$&quot;\ * &quot;-&quot;??_);_(@_)"/>
  </numFmts>
  <fonts count="100" x14ac:knownFonts="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b/>
      <sz val="8"/>
      <color theme="1"/>
      <name val="Arial"/>
      <family val="2"/>
    </font>
    <font>
      <sz val="10"/>
      <color theme="1"/>
      <name val="Arial"/>
      <family val="2"/>
    </font>
    <font>
      <b/>
      <sz val="9"/>
      <color theme="1"/>
      <name val="Calibri"/>
      <family val="2"/>
      <scheme val="minor"/>
    </font>
    <font>
      <sz val="9"/>
      <color theme="1"/>
      <name val="Calibri"/>
      <family val="2"/>
      <scheme val="minor"/>
    </font>
    <font>
      <b/>
      <sz val="10"/>
      <color theme="1"/>
      <name val="Calibri"/>
      <family val="2"/>
      <scheme val="minor"/>
    </font>
    <font>
      <b/>
      <sz val="12"/>
      <color rgb="FFC00000"/>
      <name val="Calibri"/>
      <family val="2"/>
      <scheme val="minor"/>
    </font>
    <font>
      <b/>
      <sz val="12"/>
      <color theme="3" tint="-0.249977111117893"/>
      <name val="Calibri"/>
      <family val="2"/>
      <scheme val="minor"/>
    </font>
    <font>
      <b/>
      <sz val="14"/>
      <color rgb="FFC00000"/>
      <name val="Calibri"/>
      <family val="2"/>
      <scheme val="minor"/>
    </font>
    <font>
      <b/>
      <sz val="11"/>
      <color theme="0"/>
      <name val="Calibri"/>
      <family val="2"/>
      <scheme val="minor"/>
    </font>
    <font>
      <b/>
      <sz val="11"/>
      <color theme="1"/>
      <name val="Calibri"/>
      <family val="2"/>
      <scheme val="minor"/>
    </font>
    <font>
      <b/>
      <sz val="12"/>
      <color rgb="FF960000"/>
      <name val="Calibri"/>
      <family val="2"/>
      <scheme val="minor"/>
    </font>
    <font>
      <b/>
      <sz val="16"/>
      <color theme="1"/>
      <name val="Calibri"/>
      <family val="2"/>
      <scheme val="minor"/>
    </font>
    <font>
      <b/>
      <sz val="14"/>
      <color theme="1"/>
      <name val="Calibri"/>
      <family val="2"/>
      <scheme val="minor"/>
    </font>
    <font>
      <b/>
      <sz val="10"/>
      <color theme="0"/>
      <name val="Arial"/>
      <family val="2"/>
    </font>
    <font>
      <b/>
      <sz val="11"/>
      <name val="Arial Narrow"/>
      <family val="2"/>
    </font>
    <font>
      <b/>
      <sz val="12"/>
      <color theme="0"/>
      <name val="Calibri"/>
      <family val="2"/>
      <scheme val="minor"/>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sz val="11"/>
      <color rgb="FF000000"/>
      <name val="Calibri"/>
      <family val="2"/>
    </font>
    <font>
      <b/>
      <sz val="10"/>
      <name val="Century Gothic"/>
      <family val="2"/>
    </font>
    <font>
      <b/>
      <sz val="14"/>
      <color theme="3" tint="-0.249977111117893"/>
      <name val="Calibri"/>
      <family val="2"/>
      <scheme val="minor"/>
    </font>
    <font>
      <b/>
      <sz val="12"/>
      <color theme="1"/>
      <name val="Calibri"/>
      <family val="2"/>
      <scheme val="minor"/>
    </font>
    <font>
      <b/>
      <sz val="10"/>
      <name val="Arial"/>
      <family val="2"/>
    </font>
    <font>
      <b/>
      <sz val="12"/>
      <color rgb="FF7030A0"/>
      <name val="Calibri"/>
      <family val="2"/>
      <scheme val="minor"/>
    </font>
    <font>
      <b/>
      <sz val="14"/>
      <color rgb="FF7030A0"/>
      <name val="Calibri"/>
      <family val="2"/>
      <scheme val="minor"/>
    </font>
    <font>
      <b/>
      <sz val="20"/>
      <color rgb="FFC00000"/>
      <name val="Calibri"/>
      <family val="2"/>
      <scheme val="minor"/>
    </font>
    <font>
      <b/>
      <sz val="10"/>
      <color rgb="FF000000"/>
      <name val="Tahoma"/>
      <family val="2"/>
    </font>
    <font>
      <b/>
      <sz val="16"/>
      <color theme="1"/>
      <name val="Arial"/>
      <family val="2"/>
    </font>
    <font>
      <b/>
      <sz val="14"/>
      <color theme="1"/>
      <name val="Arial"/>
      <family val="2"/>
    </font>
    <font>
      <b/>
      <sz val="12"/>
      <color theme="1"/>
      <name val="Arial"/>
      <family val="2"/>
    </font>
    <font>
      <b/>
      <u/>
      <sz val="14"/>
      <color theme="1"/>
      <name val="Arial"/>
      <family val="2"/>
    </font>
    <font>
      <b/>
      <i/>
      <sz val="14"/>
      <color theme="1"/>
      <name val="Arial"/>
      <family val="2"/>
    </font>
    <font>
      <b/>
      <sz val="11"/>
      <color theme="1"/>
      <name val="Arial"/>
      <family val="2"/>
    </font>
    <font>
      <b/>
      <i/>
      <sz val="11"/>
      <color theme="1"/>
      <name val="Arial"/>
      <family val="2"/>
    </font>
    <font>
      <sz val="14"/>
      <color theme="1"/>
      <name val="Arial"/>
      <family val="2"/>
    </font>
    <font>
      <sz val="12"/>
      <color theme="2" tint="-0.249977111117893"/>
      <name val="Calibri"/>
      <family val="2"/>
      <scheme val="minor"/>
    </font>
    <font>
      <b/>
      <sz val="10"/>
      <color rgb="FFFF0000"/>
      <name val="Calibri"/>
      <family val="2"/>
      <scheme val="minor"/>
    </font>
    <font>
      <b/>
      <sz val="16"/>
      <color rgb="FF00B050"/>
      <name val="Calibri"/>
      <family val="2"/>
      <scheme val="minor"/>
    </font>
    <font>
      <b/>
      <sz val="12"/>
      <color rgb="FFFF0000"/>
      <name val="Calibri"/>
      <family val="2"/>
      <scheme val="minor"/>
    </font>
    <font>
      <b/>
      <sz val="9"/>
      <name val="Calibri"/>
      <family val="2"/>
      <scheme val="minor"/>
    </font>
    <font>
      <sz val="11"/>
      <color theme="1"/>
      <name val="Arial"/>
      <family val="2"/>
    </font>
    <font>
      <b/>
      <sz val="9"/>
      <color rgb="FFFF0000"/>
      <name val="Calibri"/>
      <family val="2"/>
      <scheme val="minor"/>
    </font>
    <font>
      <b/>
      <sz val="10"/>
      <color theme="1"/>
      <name val="Arial"/>
      <family val="2"/>
    </font>
    <font>
      <b/>
      <sz val="10"/>
      <color rgb="FF0070C0"/>
      <name val="Arial"/>
      <family val="2"/>
    </font>
    <font>
      <sz val="10"/>
      <color theme="5" tint="0.39997558519241921"/>
      <name val="Arial"/>
      <family val="2"/>
    </font>
    <font>
      <sz val="10"/>
      <color rgb="FFFF0000"/>
      <name val="Arial"/>
      <family val="2"/>
    </font>
    <font>
      <b/>
      <sz val="12"/>
      <color rgb="FF0070C0"/>
      <name val="Arial"/>
      <family val="2"/>
    </font>
    <font>
      <sz val="10"/>
      <color rgb="FF000000"/>
      <name val="Calibri"/>
      <family val="2"/>
      <scheme val="minor"/>
    </font>
    <font>
      <b/>
      <sz val="10"/>
      <color rgb="FF000000"/>
      <name val="Calibri"/>
      <family val="2"/>
      <scheme val="minor"/>
    </font>
    <font>
      <sz val="10"/>
      <color rgb="FF000000"/>
      <name val="Tahoma"/>
      <family val="2"/>
    </font>
    <font>
      <b/>
      <sz val="8"/>
      <color rgb="FFFF0000"/>
      <name val="Arial"/>
      <family val="2"/>
    </font>
    <font>
      <b/>
      <sz val="8"/>
      <color theme="4"/>
      <name val="Arial"/>
      <family val="2"/>
    </font>
    <font>
      <sz val="11"/>
      <color theme="4"/>
      <name val="Calibri"/>
      <family val="2"/>
      <scheme val="minor"/>
    </font>
    <font>
      <b/>
      <sz val="11"/>
      <name val="Calibri"/>
      <family val="2"/>
      <scheme val="minor"/>
    </font>
    <font>
      <sz val="9"/>
      <color rgb="FF000000"/>
      <name val="Arial Narrow"/>
      <family val="2"/>
    </font>
    <font>
      <b/>
      <sz val="9"/>
      <color rgb="FF000000"/>
      <name val="Arial Narrow"/>
      <family val="2"/>
    </font>
    <font>
      <sz val="9"/>
      <color theme="1"/>
      <name val="Segoe UI"/>
      <family val="2"/>
    </font>
    <font>
      <sz val="9"/>
      <color rgb="FFFF0000"/>
      <name val="Segoe UI"/>
      <family val="2"/>
    </font>
    <font>
      <sz val="9"/>
      <color theme="1"/>
      <name val="Arial Narrow"/>
      <family val="2"/>
    </font>
    <font>
      <b/>
      <sz val="9"/>
      <color theme="1"/>
      <name val="Arial Narrow"/>
      <family val="2"/>
    </font>
    <font>
      <sz val="10"/>
      <color theme="1"/>
      <name val="Arial Narrow"/>
      <family val="2"/>
    </font>
    <font>
      <b/>
      <sz val="10"/>
      <color theme="0"/>
      <name val="Arial Narrow"/>
      <family val="2"/>
    </font>
    <font>
      <b/>
      <sz val="10"/>
      <color theme="1"/>
      <name val="Arial Narrow"/>
      <family val="2"/>
    </font>
    <font>
      <sz val="10"/>
      <color theme="0"/>
      <name val="Arial Narrow"/>
      <family val="2"/>
    </font>
    <font>
      <sz val="11"/>
      <color rgb="FFC00000"/>
      <name val="Calibri"/>
      <family val="2"/>
      <scheme val="minor"/>
    </font>
    <font>
      <b/>
      <sz val="11"/>
      <color rgb="FFC00000"/>
      <name val="Calibri"/>
      <family val="2"/>
      <scheme val="minor"/>
    </font>
    <font>
      <b/>
      <sz val="9"/>
      <color rgb="FFC00000"/>
      <name val="Arial"/>
      <family val="2"/>
    </font>
    <font>
      <b/>
      <sz val="10"/>
      <color rgb="FFC00000"/>
      <name val="Arial"/>
      <family val="2"/>
    </font>
    <font>
      <sz val="10"/>
      <color rgb="FFC00000"/>
      <name val="Arial"/>
      <family val="2"/>
    </font>
    <font>
      <sz val="8"/>
      <color rgb="FFC00000"/>
      <name val="Times New Roman"/>
      <family val="1"/>
    </font>
    <font>
      <b/>
      <sz val="8"/>
      <color rgb="FFC00000"/>
      <name val="Arial"/>
      <family val="2"/>
    </font>
    <font>
      <sz val="8"/>
      <color rgb="FFC00000"/>
      <name val="Arial"/>
      <family val="2"/>
    </font>
    <font>
      <sz val="9"/>
      <color rgb="FFC00000"/>
      <name val="Arial"/>
      <family val="2"/>
    </font>
    <font>
      <b/>
      <sz val="10"/>
      <color rgb="FFC00000"/>
      <name val="Calibri"/>
      <family val="2"/>
      <scheme val="minor"/>
    </font>
    <font>
      <sz val="8"/>
      <color theme="1"/>
      <name val="Arial"/>
      <family val="2"/>
    </font>
    <font>
      <b/>
      <sz val="9"/>
      <color theme="1"/>
      <name val="Arial Nova Cond"/>
      <family val="2"/>
    </font>
    <font>
      <sz val="9"/>
      <color theme="1"/>
      <name val="Arial Nova Cond"/>
      <family val="2"/>
    </font>
    <font>
      <sz val="9"/>
      <color rgb="FFFF0000"/>
      <name val="Arial Nova Cond"/>
      <family val="2"/>
    </font>
    <font>
      <b/>
      <sz val="9"/>
      <color theme="0"/>
      <name val="Arial Nova Cond"/>
      <family val="2"/>
    </font>
    <font>
      <sz val="9"/>
      <name val="Arial Nova Cond"/>
      <family val="2"/>
    </font>
    <font>
      <b/>
      <sz val="9"/>
      <color rgb="FFC00000"/>
      <name val="Arial Nova Cond"/>
      <family val="2"/>
    </font>
    <font>
      <b/>
      <sz val="9"/>
      <color rgb="FFFF0000"/>
      <name val="Arial Nova Cond"/>
      <family val="2"/>
    </font>
  </fonts>
  <fills count="59">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1" tint="0.499984740745262"/>
        <bgColor indexed="64"/>
      </patternFill>
    </fill>
    <fill>
      <patternFill patternType="solid">
        <fgColor theme="0" tint="-4.9989318521683403E-2"/>
        <bgColor indexed="64"/>
      </patternFill>
    </fill>
    <fill>
      <patternFill patternType="solid">
        <fgColor rgb="FFFFFFC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B7F084"/>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theme="7" tint="0.59999389629810485"/>
        <bgColor indexed="64"/>
      </patternFill>
    </fill>
    <fill>
      <patternFill patternType="solid">
        <fgColor rgb="FF00FFFF"/>
        <bgColor indexed="64"/>
      </patternFill>
    </fill>
    <fill>
      <patternFill patternType="solid">
        <fgColor rgb="FF00B0F0"/>
        <bgColor indexed="64"/>
      </patternFill>
    </fill>
    <fill>
      <patternFill patternType="solid">
        <fgColor rgb="FFFF3399"/>
        <bgColor indexed="64"/>
      </patternFill>
    </fill>
    <fill>
      <patternFill patternType="solid">
        <fgColor rgb="FF9999FF"/>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rgb="FF00B050"/>
        <bgColor indexed="64"/>
      </patternFill>
    </fill>
    <fill>
      <patternFill patternType="solid">
        <fgColor theme="8" tint="0.39997558519241921"/>
        <bgColor indexed="64"/>
      </patternFill>
    </fill>
    <fill>
      <patternFill patternType="solid">
        <fgColor rgb="FFFFFF00"/>
        <bgColor indexed="64"/>
      </patternFill>
    </fill>
    <fill>
      <patternFill patternType="solid">
        <fgColor rgb="FFFF66CC"/>
        <bgColor indexed="64"/>
      </patternFill>
    </fill>
    <fill>
      <patternFill patternType="solid">
        <fgColor rgb="FFFFFFFF"/>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4" tint="0.59999389629810485"/>
        <bgColor indexed="64"/>
      </patternFill>
    </fill>
    <fill>
      <patternFill patternType="solid">
        <fgColor theme="8" tint="0.79995117038483843"/>
        <bgColor indexed="64"/>
      </patternFill>
    </fill>
    <fill>
      <patternFill patternType="solid">
        <fgColor rgb="FF002060"/>
        <bgColor indexed="64"/>
      </patternFill>
    </fill>
    <fill>
      <patternFill patternType="solid">
        <fgColor rgb="FF0070C0"/>
        <bgColor indexed="64"/>
      </patternFill>
    </fill>
    <fill>
      <patternFill patternType="solid">
        <fgColor rgb="FF2F75B5"/>
        <bgColor rgb="FF000000"/>
      </patternFill>
    </fill>
    <fill>
      <patternFill patternType="solid">
        <fgColor rgb="FF3399FF"/>
        <bgColor rgb="FF000000"/>
      </patternFill>
    </fill>
    <fill>
      <patternFill patternType="solid">
        <fgColor rgb="FFE2ECFD"/>
        <bgColor indexed="64"/>
      </patternFill>
    </fill>
  </fills>
  <borders count="84">
    <border>
      <left/>
      <right/>
      <top/>
      <bottom/>
      <diagonal/>
    </border>
    <border>
      <left/>
      <right/>
      <top style="thin">
        <color theme="3" tint="0.59999389629810485"/>
      </top>
      <bottom style="medium">
        <color theme="3" tint="0.59999389629810485"/>
      </bottom>
      <diagonal/>
    </border>
    <border>
      <left/>
      <right/>
      <top style="thin">
        <color rgb="FFC00000"/>
      </top>
      <bottom style="medium">
        <color rgb="FFC00000"/>
      </bottom>
      <diagonal/>
    </border>
    <border>
      <left style="thin">
        <color rgb="FF960000"/>
      </left>
      <right style="thin">
        <color rgb="FF960000"/>
      </right>
      <top style="thin">
        <color rgb="FF960000"/>
      </top>
      <bottom/>
      <diagonal/>
    </border>
    <border>
      <left style="thin">
        <color rgb="FF960000"/>
      </left>
      <right style="thin">
        <color rgb="FF960000"/>
      </right>
      <top/>
      <bottom/>
      <diagonal/>
    </border>
    <border>
      <left style="thin">
        <color rgb="FF960000"/>
      </left>
      <right style="thin">
        <color rgb="FF960000"/>
      </right>
      <top/>
      <bottom style="thin">
        <color rgb="FF960000"/>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theme="3" tint="0.59999389629810485"/>
      </bottom>
      <diagonal/>
    </border>
    <border>
      <left/>
      <right/>
      <top style="thin">
        <color theme="3" tint="0.79998168889431442"/>
      </top>
      <bottom style="medium">
        <color theme="3" tint="0.59999389629810485"/>
      </bottom>
      <diagonal/>
    </border>
    <border>
      <left/>
      <right/>
      <top style="thin">
        <color theme="3" tint="0.79998168889431442"/>
      </top>
      <bottom/>
      <diagonal/>
    </border>
    <border>
      <left style="thin">
        <color theme="3"/>
      </left>
      <right style="thin">
        <color theme="3"/>
      </right>
      <top style="thin">
        <color theme="3"/>
      </top>
      <bottom style="thin">
        <color theme="3"/>
      </bottom>
      <diagonal/>
    </border>
    <border>
      <left/>
      <right/>
      <top/>
      <bottom style="thin">
        <color rgb="FFC00000"/>
      </bottom>
      <diagonal/>
    </border>
    <border>
      <left style="thin">
        <color theme="3"/>
      </left>
      <right/>
      <top style="thin">
        <color theme="3"/>
      </top>
      <bottom style="thin">
        <color theme="3"/>
      </bottom>
      <diagonal/>
    </border>
    <border>
      <left/>
      <right style="thin">
        <color theme="3"/>
      </right>
      <top style="thin">
        <color theme="3"/>
      </top>
      <bottom style="thin">
        <color theme="3"/>
      </bottom>
      <diagonal/>
    </border>
    <border>
      <left/>
      <right/>
      <top style="thin">
        <color theme="3" tint="0.79998168889431442"/>
      </top>
      <bottom style="thin">
        <color theme="3"/>
      </bottom>
      <diagonal/>
    </border>
    <border>
      <left style="medium">
        <color indexed="64"/>
      </left>
      <right style="medium">
        <color indexed="64"/>
      </right>
      <top style="medium">
        <color indexed="64"/>
      </top>
      <bottom style="medium">
        <color indexed="64"/>
      </bottom>
      <diagonal/>
    </border>
    <border>
      <left/>
      <right/>
      <top style="thin">
        <color theme="3"/>
      </top>
      <bottom style="thin">
        <color theme="3"/>
      </bottom>
      <diagonal/>
    </border>
    <border>
      <left style="thin">
        <color theme="3"/>
      </left>
      <right/>
      <top style="thin">
        <color theme="3"/>
      </top>
      <bottom/>
      <diagonal/>
    </border>
    <border>
      <left/>
      <right/>
      <top style="thin">
        <color theme="3"/>
      </top>
      <bottom/>
      <diagonal/>
    </border>
    <border>
      <left/>
      <right style="thin">
        <color theme="3"/>
      </right>
      <top style="thin">
        <color theme="3"/>
      </top>
      <bottom/>
      <diagonal/>
    </border>
    <border>
      <left style="thin">
        <color indexed="64"/>
      </left>
      <right/>
      <top/>
      <bottom/>
      <diagonal/>
    </border>
    <border>
      <left/>
      <right style="thin">
        <color auto="1"/>
      </right>
      <top/>
      <bottom/>
      <diagonal/>
    </border>
    <border>
      <left style="thin">
        <color indexed="64"/>
      </left>
      <right/>
      <top/>
      <bottom style="thin">
        <color auto="1"/>
      </bottom>
      <diagonal/>
    </border>
    <border>
      <left/>
      <right style="thin">
        <color auto="1"/>
      </right>
      <top/>
      <bottom style="thin">
        <color auto="1"/>
      </bottom>
      <diagonal/>
    </border>
    <border>
      <left/>
      <right/>
      <top/>
      <bottom style="thin">
        <color indexed="64"/>
      </bottom>
      <diagonal/>
    </border>
    <border>
      <left style="thin">
        <color theme="3"/>
      </left>
      <right style="thin">
        <color theme="3"/>
      </right>
      <top/>
      <bottom style="thin">
        <color theme="3"/>
      </bottom>
      <diagonal/>
    </border>
    <border>
      <left style="thin">
        <color theme="3"/>
      </left>
      <right/>
      <top/>
      <bottom style="thin">
        <color theme="3"/>
      </bottom>
      <diagonal/>
    </border>
    <border>
      <left/>
      <right style="thin">
        <color theme="3"/>
      </right>
      <top/>
      <bottom style="thin">
        <color theme="3"/>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theme="3"/>
      </left>
      <right style="thin">
        <color theme="3"/>
      </right>
      <top style="thin">
        <color theme="3"/>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hair">
        <color auto="1"/>
      </left>
      <right/>
      <top style="hair">
        <color auto="1"/>
      </top>
      <bottom style="hair">
        <color auto="1"/>
      </bottom>
      <diagonal/>
    </border>
    <border>
      <left style="hair">
        <color auto="1"/>
      </left>
      <right/>
      <top style="hair">
        <color auto="1"/>
      </top>
      <bottom/>
      <diagonal/>
    </border>
    <border>
      <left style="thin">
        <color theme="3"/>
      </left>
      <right style="thin">
        <color theme="3"/>
      </right>
      <top/>
      <bottom/>
      <diagonal/>
    </border>
    <border>
      <left/>
      <right/>
      <top style="thin">
        <color auto="1"/>
      </top>
      <bottom/>
      <diagonal/>
    </border>
    <border>
      <left style="hair">
        <color auto="1"/>
      </left>
      <right style="hair">
        <color auto="1"/>
      </right>
      <top style="hair">
        <color auto="1"/>
      </top>
      <bottom style="hair">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medium">
        <color indexed="64"/>
      </bottom>
      <diagonal/>
    </border>
    <border>
      <left/>
      <right style="thin">
        <color auto="1"/>
      </right>
      <top style="thin">
        <color auto="1"/>
      </top>
      <bottom/>
      <diagonal/>
    </border>
    <border>
      <left style="medium">
        <color indexed="64"/>
      </left>
      <right style="thin">
        <color auto="1"/>
      </right>
      <top style="thin">
        <color auto="1"/>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thin">
        <color theme="2" tint="-0.249977111117893"/>
      </left>
      <right style="thin">
        <color theme="2" tint="-0.249977111117893"/>
      </right>
      <top style="thin">
        <color theme="2" tint="-0.249977111117893"/>
      </top>
      <bottom style="thin">
        <color theme="2" tint="-0.249977111117893"/>
      </bottom>
      <diagonal/>
    </border>
    <border>
      <left/>
      <right/>
      <top style="thin">
        <color theme="2" tint="-0.249977111117893"/>
      </top>
      <bottom style="thin">
        <color theme="2" tint="-0.249977111117893"/>
      </bottom>
      <diagonal/>
    </border>
    <border>
      <left/>
      <right style="thin">
        <color theme="2" tint="-0.249977111117893"/>
      </right>
      <top style="thin">
        <color theme="2" tint="-0.249977111117893"/>
      </top>
      <bottom style="thin">
        <color theme="2" tint="-0.249977111117893"/>
      </bottom>
      <diagonal/>
    </border>
    <border>
      <left style="medium">
        <color indexed="64"/>
      </left>
      <right style="thin">
        <color theme="2" tint="-0.249977111117893"/>
      </right>
      <top style="thin">
        <color theme="2" tint="-0.249977111117893"/>
      </top>
      <bottom style="thin">
        <color theme="2" tint="-0.249977111117893"/>
      </bottom>
      <diagonal/>
    </border>
    <border>
      <left style="thin">
        <color theme="2" tint="-0.249977111117893"/>
      </left>
      <right style="medium">
        <color indexed="64"/>
      </right>
      <top style="thin">
        <color theme="2" tint="-0.249977111117893"/>
      </top>
      <bottom style="thin">
        <color theme="2" tint="-0.249977111117893"/>
      </bottom>
      <diagonal/>
    </border>
    <border>
      <left style="medium">
        <color indexed="64"/>
      </left>
      <right/>
      <top style="thin">
        <color theme="2" tint="-0.249977111117893"/>
      </top>
      <bottom style="thin">
        <color theme="2" tint="-0.249977111117893"/>
      </bottom>
      <diagonal/>
    </border>
    <border>
      <left/>
      <right/>
      <top style="medium">
        <color rgb="FFC00000"/>
      </top>
      <bottom style="thin">
        <color indexed="64"/>
      </bottom>
      <diagonal/>
    </border>
  </borders>
  <cellStyleXfs count="1739">
    <xf numFmtId="0" fontId="0" fillId="0" borderId="0"/>
    <xf numFmtId="0" fontId="5" fillId="0" borderId="0"/>
    <xf numFmtId="165" fontId="5" fillId="0" borderId="0" applyFont="0" applyFill="0" applyBorder="0" applyAlignment="0" applyProtection="0"/>
    <xf numFmtId="166" fontId="3" fillId="0" borderId="0" applyFont="0" applyFill="0" applyBorder="0" applyAlignment="0" applyProtection="0"/>
    <xf numFmtId="165" fontId="3" fillId="0" borderId="0" applyFont="0" applyFill="0" applyBorder="0" applyAlignment="0" applyProtection="0"/>
    <xf numFmtId="166" fontId="3" fillId="0" borderId="0" applyFont="0" applyFill="0" applyBorder="0" applyAlignment="0" applyProtection="0"/>
    <xf numFmtId="0" fontId="3" fillId="0" borderId="0"/>
    <xf numFmtId="165" fontId="20" fillId="0" borderId="0" applyFont="0" applyFill="0" applyBorder="0" applyAlignment="0" applyProtection="0"/>
    <xf numFmtId="0" fontId="20" fillId="0" borderId="0"/>
    <xf numFmtId="0" fontId="20" fillId="0" borderId="0"/>
    <xf numFmtId="165"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1" fillId="30" borderId="15"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6" borderId="0" applyNumberFormat="0" applyBorder="0" applyAlignment="0" applyProtection="0"/>
    <xf numFmtId="0" fontId="21" fillId="19" borderId="0" applyNumberFormat="0" applyBorder="0" applyAlignment="0" applyProtection="0"/>
    <xf numFmtId="0" fontId="22" fillId="20"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22" fillId="26"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7" borderId="0" applyNumberFormat="0" applyBorder="0" applyAlignment="0" applyProtection="0"/>
    <xf numFmtId="0" fontId="23" fillId="11" borderId="0" applyNumberFormat="0" applyBorder="0" applyAlignment="0" applyProtection="0"/>
    <xf numFmtId="0" fontId="24" fillId="28" borderId="9" applyNumberFormat="0" applyAlignment="0" applyProtection="0"/>
    <xf numFmtId="0" fontId="25" fillId="29" borderId="10" applyNumberFormat="0" applyAlignment="0" applyProtection="0"/>
    <xf numFmtId="167" fontId="20" fillId="0" borderId="0" applyFont="0" applyFill="0" applyBorder="0" applyAlignment="0" applyProtection="0"/>
    <xf numFmtId="0" fontId="26" fillId="0" borderId="0" applyNumberFormat="0" applyFill="0" applyBorder="0" applyAlignment="0" applyProtection="0"/>
    <xf numFmtId="0" fontId="27" fillId="12" borderId="0" applyNumberFormat="0" applyBorder="0" applyAlignment="0" applyProtection="0"/>
    <xf numFmtId="0" fontId="28" fillId="0" borderId="12" applyNumberFormat="0" applyFill="0" applyAlignment="0" applyProtection="0"/>
    <xf numFmtId="0" fontId="29" fillId="0" borderId="13" applyNumberFormat="0" applyFill="0" applyAlignment="0" applyProtection="0"/>
    <xf numFmtId="0" fontId="30" fillId="0" borderId="14" applyNumberFormat="0" applyFill="0" applyAlignment="0" applyProtection="0"/>
    <xf numFmtId="0" fontId="30" fillId="0" borderId="0" applyNumberFormat="0" applyFill="0" applyBorder="0" applyAlignment="0" applyProtection="0"/>
    <xf numFmtId="0" fontId="31" fillId="15" borderId="9" applyNumberFormat="0" applyAlignment="0" applyProtection="0"/>
    <xf numFmtId="0" fontId="32" fillId="0" borderId="11" applyNumberFormat="0" applyFill="0" applyAlignment="0" applyProtection="0"/>
    <xf numFmtId="168" fontId="20" fillId="0" borderId="0" applyFont="0" applyFill="0" applyBorder="0" applyAlignment="0" applyProtection="0"/>
    <xf numFmtId="166" fontId="20" fillId="0" borderId="0" applyFont="0" applyFill="0" applyBorder="0" applyAlignment="0" applyProtection="0"/>
    <xf numFmtId="169" fontId="20" fillId="0" borderId="0" applyFont="0" applyFill="0" applyBorder="0" applyAlignment="0" applyProtection="0"/>
    <xf numFmtId="0" fontId="20" fillId="0" borderId="0"/>
    <xf numFmtId="0" fontId="20" fillId="0" borderId="0"/>
    <xf numFmtId="0" fontId="20" fillId="0" borderId="0"/>
    <xf numFmtId="0" fontId="21" fillId="30" borderId="15" applyNumberFormat="0" applyFont="0" applyAlignment="0" applyProtection="0"/>
    <xf numFmtId="0" fontId="33" fillId="28" borderId="16" applyNumberFormat="0" applyAlignment="0" applyProtection="0"/>
    <xf numFmtId="0" fontId="34" fillId="0" borderId="0" applyNumberFormat="0" applyFill="0" applyBorder="0" applyAlignment="0" applyProtection="0"/>
    <xf numFmtId="0" fontId="35" fillId="0" borderId="0" applyNumberFormat="0" applyFill="0" applyBorder="0" applyAlignment="0" applyProtection="0"/>
    <xf numFmtId="9" fontId="20"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1" fillId="0" borderId="0"/>
    <xf numFmtId="0" fontId="3" fillId="0" borderId="0"/>
    <xf numFmtId="0" fontId="36" fillId="0" borderId="0"/>
    <xf numFmtId="0" fontId="3" fillId="0" borderId="0"/>
    <xf numFmtId="167" fontId="3" fillId="0" borderId="0" applyFont="0" applyFill="0" applyBorder="0" applyAlignment="0" applyProtection="0"/>
    <xf numFmtId="0" fontId="3" fillId="0" borderId="0"/>
    <xf numFmtId="9" fontId="3" fillId="0" borderId="0" applyFont="0" applyFill="0" applyBorder="0" applyAlignment="0" applyProtection="0"/>
    <xf numFmtId="0" fontId="37" fillId="31" borderId="6" applyBorder="0" applyAlignment="0">
      <alignment horizontal="center" vertical="center"/>
    </xf>
    <xf numFmtId="0" fontId="3" fillId="0" borderId="0"/>
    <xf numFmtId="166" fontId="3" fillId="0" borderId="0" applyFont="0" applyFill="0" applyBorder="0" applyAlignment="0" applyProtection="0"/>
    <xf numFmtId="0" fontId="20" fillId="0" borderId="0"/>
    <xf numFmtId="0" fontId="33" fillId="28" borderId="16" applyNumberFormat="0" applyAlignment="0" applyProtection="0"/>
    <xf numFmtId="0" fontId="3" fillId="0" borderId="0"/>
    <xf numFmtId="0" fontId="3" fillId="0" borderId="0"/>
    <xf numFmtId="166" fontId="3" fillId="0" borderId="0" applyFont="0" applyFill="0" applyBorder="0" applyAlignment="0" applyProtection="0"/>
    <xf numFmtId="0" fontId="3" fillId="0" borderId="0"/>
    <xf numFmtId="168" fontId="20"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9" borderId="8" applyNumberFormat="0" applyFont="0" applyAlignment="0" applyProtection="0"/>
    <xf numFmtId="165" fontId="20" fillId="0" borderId="0" applyFont="0" applyFill="0" applyBorder="0" applyAlignment="0" applyProtection="0"/>
    <xf numFmtId="0" fontId="24" fillId="28" borderId="9" applyNumberFormat="0" applyAlignment="0" applyProtection="0"/>
    <xf numFmtId="0" fontId="31" fillId="15" borderId="9" applyNumberFormat="0" applyAlignment="0" applyProtection="0"/>
    <xf numFmtId="0" fontId="20" fillId="0" borderId="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24" fillId="28"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4" fillId="28" borderId="9" applyNumberFormat="0" applyAlignment="0" applyProtection="0"/>
    <xf numFmtId="165" fontId="3" fillId="0" borderId="0" applyFont="0" applyFill="0" applyBorder="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1" fillId="15" borderId="9" applyNumberFormat="0" applyAlignment="0" applyProtection="0"/>
    <xf numFmtId="0" fontId="21" fillId="30" borderId="15" applyNumberFormat="0" applyFont="0" applyAlignment="0" applyProtection="0"/>
    <xf numFmtId="0" fontId="31" fillId="15"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0" fillId="0" borderId="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24" fillId="28"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1" fillId="15" borderId="9" applyNumberFormat="0" applyAlignment="0" applyProtection="0"/>
    <xf numFmtId="0" fontId="21" fillId="30" borderId="15" applyNumberFormat="0" applyFont="0" applyAlignment="0" applyProtection="0"/>
    <xf numFmtId="0" fontId="31" fillId="15"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24" fillId="28"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1" fillId="15" borderId="9" applyNumberFormat="0" applyAlignment="0" applyProtection="0"/>
    <xf numFmtId="0" fontId="21" fillId="30" borderId="15" applyNumberFormat="0" applyFont="0" applyAlignment="0" applyProtection="0"/>
    <xf numFmtId="0" fontId="31" fillId="15"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24" fillId="28"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1" fillId="15" borderId="9" applyNumberFormat="0" applyAlignment="0" applyProtection="0"/>
    <xf numFmtId="0" fontId="21" fillId="30" borderId="15" applyNumberFormat="0" applyFont="0" applyAlignment="0" applyProtection="0"/>
    <xf numFmtId="0" fontId="31" fillId="15"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24" fillId="28"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1" fillId="15" borderId="9" applyNumberFormat="0" applyAlignment="0" applyProtection="0"/>
    <xf numFmtId="0" fontId="21" fillId="30" borderId="15" applyNumberFormat="0" applyFont="0" applyAlignment="0" applyProtection="0"/>
    <xf numFmtId="0" fontId="31" fillId="15"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24" fillId="28"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4" fillId="28" borderId="9" applyNumberFormat="0" applyAlignment="0" applyProtection="0"/>
    <xf numFmtId="0" fontId="21" fillId="30" borderId="15" applyNumberFormat="0" applyFont="0" applyAlignment="0" applyProtection="0"/>
    <xf numFmtId="0" fontId="31" fillId="15" borderId="9" applyNumberFormat="0" applyAlignment="0" applyProtection="0"/>
    <xf numFmtId="0" fontId="21" fillId="30" borderId="15" applyNumberFormat="0" applyFont="0" applyAlignment="0" applyProtection="0"/>
    <xf numFmtId="0" fontId="31" fillId="15"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24" fillId="28"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33" fillId="28" borderId="16" applyNumberFormat="0" applyAlignment="0" applyProtection="0"/>
    <xf numFmtId="0" fontId="24" fillId="28" borderId="9" applyNumberFormat="0" applyAlignment="0" applyProtection="0"/>
    <xf numFmtId="0" fontId="24" fillId="28" borderId="9" applyNumberFormat="0" applyAlignment="0" applyProtection="0"/>
    <xf numFmtId="0" fontId="33" fillId="28" borderId="16" applyNumberFormat="0" applyAlignment="0" applyProtection="0"/>
    <xf numFmtId="0" fontId="21" fillId="30" borderId="15" applyNumberFormat="0" applyFont="0" applyAlignment="0" applyProtection="0"/>
    <xf numFmtId="0" fontId="31" fillId="15" borderId="9" applyNumberFormat="0" applyAlignment="0" applyProtection="0"/>
    <xf numFmtId="0" fontId="31" fillId="15" borderId="9" applyNumberFormat="0" applyAlignment="0" applyProtection="0"/>
    <xf numFmtId="0" fontId="21" fillId="30" borderId="15" applyNumberFormat="0" applyFont="0" applyAlignment="0" applyProtection="0"/>
    <xf numFmtId="0" fontId="21" fillId="30" borderId="15" applyNumberFormat="0" applyFont="0" applyAlignment="0" applyProtection="0"/>
    <xf numFmtId="0" fontId="33" fillId="28" borderId="16" applyNumberFormat="0" applyAlignment="0" applyProtection="0"/>
    <xf numFmtId="0" fontId="21" fillId="30" borderId="15" applyNumberFormat="0" applyFont="0" applyAlignment="0" applyProtection="0"/>
    <xf numFmtId="0" fontId="33" fillId="28" borderId="16" applyNumberFormat="0" applyAlignment="0" applyProtection="0"/>
    <xf numFmtId="0" fontId="33" fillId="28" borderId="16" applyNumberFormat="0" applyAlignment="0" applyProtection="0"/>
    <xf numFmtId="0" fontId="31" fillId="15" borderId="9" applyNumberFormat="0" applyAlignment="0" applyProtection="0"/>
    <xf numFmtId="0" fontId="24" fillId="28" borderId="9" applyNumberFormat="0" applyAlignment="0" applyProtection="0"/>
    <xf numFmtId="0" fontId="31" fillId="15" borderId="9" applyNumberFormat="0" applyAlignment="0" applyProtection="0"/>
    <xf numFmtId="0" fontId="24" fillId="28" borderId="9" applyNumberFormat="0" applyAlignment="0" applyProtection="0"/>
    <xf numFmtId="0" fontId="24" fillId="28" borderId="9" applyNumberFormat="0" applyAlignment="0" applyProtection="0"/>
    <xf numFmtId="0" fontId="31" fillId="15" borderId="9" applyNumberFormat="0" applyAlignment="0" applyProtection="0"/>
    <xf numFmtId="170"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1" fillId="30" borderId="18" applyNumberFormat="0" applyFon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24" fillId="28"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1" fillId="15" borderId="17" applyNumberFormat="0" applyAlignment="0" applyProtection="0"/>
    <xf numFmtId="0" fontId="21" fillId="30" borderId="18" applyNumberFormat="0" applyFont="0" applyAlignment="0" applyProtection="0"/>
    <xf numFmtId="0" fontId="31" fillId="15"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24" fillId="28"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1" fillId="15" borderId="17" applyNumberFormat="0" applyAlignment="0" applyProtection="0"/>
    <xf numFmtId="0" fontId="21" fillId="30" borderId="18" applyNumberFormat="0" applyFont="0" applyAlignment="0" applyProtection="0"/>
    <xf numFmtId="0" fontId="31" fillId="15"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24" fillId="28"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1" fillId="15" borderId="17" applyNumberFormat="0" applyAlignment="0" applyProtection="0"/>
    <xf numFmtId="0" fontId="21" fillId="30" borderId="18" applyNumberFormat="0" applyFont="0" applyAlignment="0" applyProtection="0"/>
    <xf numFmtId="0" fontId="31" fillId="15"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24" fillId="28"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1" fillId="15" borderId="17" applyNumberFormat="0" applyAlignment="0" applyProtection="0"/>
    <xf numFmtId="0" fontId="21" fillId="30" borderId="18" applyNumberFormat="0" applyFont="0" applyAlignment="0" applyProtection="0"/>
    <xf numFmtId="0" fontId="31" fillId="15"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24" fillId="28"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1" fillId="15" borderId="17" applyNumberFormat="0" applyAlignment="0" applyProtection="0"/>
    <xf numFmtId="0" fontId="21" fillId="30" borderId="18" applyNumberFormat="0" applyFont="0" applyAlignment="0" applyProtection="0"/>
    <xf numFmtId="0" fontId="31" fillId="15"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24" fillId="28"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4" fillId="28" borderId="17" applyNumberFormat="0" applyAlignment="0" applyProtection="0"/>
    <xf numFmtId="0" fontId="21" fillId="30" borderId="18" applyNumberFormat="0" applyFont="0" applyAlignment="0" applyProtection="0"/>
    <xf numFmtId="0" fontId="31" fillId="15" borderId="17" applyNumberFormat="0" applyAlignment="0" applyProtection="0"/>
    <xf numFmtId="0" fontId="21" fillId="30" borderId="18" applyNumberFormat="0" applyFont="0" applyAlignment="0" applyProtection="0"/>
    <xf numFmtId="0" fontId="31" fillId="15"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24" fillId="28"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33" fillId="28" borderId="19" applyNumberFormat="0" applyAlignment="0" applyProtection="0"/>
    <xf numFmtId="0" fontId="24" fillId="28" borderId="17" applyNumberFormat="0" applyAlignment="0" applyProtection="0"/>
    <xf numFmtId="0" fontId="24" fillId="28" borderId="17" applyNumberFormat="0" applyAlignment="0" applyProtection="0"/>
    <xf numFmtId="0" fontId="33" fillId="28" borderId="19" applyNumberFormat="0" applyAlignment="0" applyProtection="0"/>
    <xf numFmtId="0" fontId="21" fillId="30" borderId="18" applyNumberFormat="0" applyFont="0" applyAlignment="0" applyProtection="0"/>
    <xf numFmtId="0" fontId="31" fillId="15" borderId="17" applyNumberFormat="0" applyAlignment="0" applyProtection="0"/>
    <xf numFmtId="0" fontId="31" fillId="15" borderId="17" applyNumberFormat="0" applyAlignment="0" applyProtection="0"/>
    <xf numFmtId="0" fontId="21" fillId="30" borderId="18" applyNumberFormat="0" applyFont="0" applyAlignment="0" applyProtection="0"/>
    <xf numFmtId="0" fontId="21" fillId="30" borderId="18" applyNumberFormat="0" applyFont="0" applyAlignment="0" applyProtection="0"/>
    <xf numFmtId="0" fontId="33" fillId="28" borderId="19" applyNumberFormat="0" applyAlignment="0" applyProtection="0"/>
    <xf numFmtId="0" fontId="21" fillId="30" borderId="18" applyNumberFormat="0" applyFont="0" applyAlignment="0" applyProtection="0"/>
    <xf numFmtId="0" fontId="33" fillId="28" borderId="19" applyNumberFormat="0" applyAlignment="0" applyProtection="0"/>
    <xf numFmtId="0" fontId="33" fillId="28" borderId="19" applyNumberFormat="0" applyAlignment="0" applyProtection="0"/>
    <xf numFmtId="0" fontId="31" fillId="15" borderId="17" applyNumberFormat="0" applyAlignment="0" applyProtection="0"/>
    <xf numFmtId="0" fontId="24" fillId="28" borderId="17" applyNumberFormat="0" applyAlignment="0" applyProtection="0"/>
    <xf numFmtId="0" fontId="31" fillId="15" borderId="17" applyNumberFormat="0" applyAlignment="0" applyProtection="0"/>
    <xf numFmtId="0" fontId="24" fillId="28" borderId="17" applyNumberFormat="0" applyAlignment="0" applyProtection="0"/>
    <xf numFmtId="0" fontId="24" fillId="28" borderId="17" applyNumberFormat="0" applyAlignment="0" applyProtection="0"/>
    <xf numFmtId="0" fontId="31" fillId="15" borderId="17" applyNumberFormat="0" applyAlignment="0" applyProtection="0"/>
    <xf numFmtId="168" fontId="3" fillId="0" borderId="0" applyFont="0" applyFill="0" applyBorder="0" applyAlignment="0" applyProtection="0"/>
    <xf numFmtId="42" fontId="3" fillId="0" borderId="0" applyFont="0" applyFill="0" applyBorder="0" applyAlignment="0" applyProtection="0"/>
    <xf numFmtId="9"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cellStyleXfs>
  <cellXfs count="601">
    <xf numFmtId="0" fontId="0" fillId="0" borderId="0" xfId="0"/>
    <xf numFmtId="0" fontId="7" fillId="5" borderId="0" xfId="0" applyFont="1" applyFill="1" applyAlignment="1">
      <alignment horizontal="left" vertical="center"/>
    </xf>
    <xf numFmtId="0" fontId="7" fillId="5" borderId="0" xfId="0" applyFont="1" applyFill="1" applyAlignment="1">
      <alignment vertical="center"/>
    </xf>
    <xf numFmtId="0" fontId="7" fillId="5" borderId="0" xfId="0" applyFont="1" applyFill="1" applyAlignment="1">
      <alignment horizontal="center" vertical="center"/>
    </xf>
    <xf numFmtId="0" fontId="10" fillId="5" borderId="1" xfId="0" applyFont="1" applyFill="1" applyBorder="1" applyAlignment="1">
      <alignment horizontal="left" vertical="center"/>
    </xf>
    <xf numFmtId="0" fontId="10" fillId="5" borderId="1" xfId="0" applyFont="1" applyFill="1" applyBorder="1" applyAlignment="1">
      <alignment horizontal="right" vertical="center"/>
    </xf>
    <xf numFmtId="0" fontId="11" fillId="5" borderId="2" xfId="0" applyFont="1" applyFill="1" applyBorder="1" applyAlignment="1">
      <alignment horizontal="right" vertical="center"/>
    </xf>
    <xf numFmtId="0" fontId="11" fillId="5" borderId="2" xfId="0" applyFont="1" applyFill="1" applyBorder="1" applyAlignment="1">
      <alignment horizontal="left" vertical="center"/>
    </xf>
    <xf numFmtId="0" fontId="0" fillId="5" borderId="0" xfId="0" applyFill="1"/>
    <xf numFmtId="0" fontId="0" fillId="0" borderId="0" xfId="0" applyAlignment="1">
      <alignment wrapText="1"/>
    </xf>
    <xf numFmtId="0" fontId="6" fillId="0" borderId="0" xfId="0" applyFont="1" applyAlignment="1">
      <alignment vertical="center" wrapText="1"/>
    </xf>
    <xf numFmtId="0" fontId="12" fillId="7" borderId="0" xfId="0" applyFont="1" applyFill="1" applyAlignment="1">
      <alignment horizontal="center"/>
    </xf>
    <xf numFmtId="0" fontId="12" fillId="7" borderId="0" xfId="0" applyFont="1" applyFill="1" applyAlignment="1">
      <alignment horizontal="center" wrapText="1"/>
    </xf>
    <xf numFmtId="14" fontId="12" fillId="7" borderId="0" xfId="0" applyNumberFormat="1" applyFont="1" applyFill="1" applyAlignment="1">
      <alignment horizontal="center"/>
    </xf>
    <xf numFmtId="0" fontId="19" fillId="7" borderId="0" xfId="0" applyFont="1" applyFill="1" applyAlignment="1">
      <alignment horizontal="center" vertical="center"/>
    </xf>
    <xf numFmtId="0" fontId="19" fillId="7" borderId="0" xfId="0" applyFont="1" applyFill="1" applyAlignment="1">
      <alignment horizontal="center" vertical="center" wrapText="1"/>
    </xf>
    <xf numFmtId="14" fontId="19" fillId="7" borderId="0" xfId="0" applyNumberFormat="1" applyFont="1" applyFill="1" applyAlignment="1">
      <alignment horizontal="center" vertical="center"/>
    </xf>
    <xf numFmtId="0" fontId="6" fillId="5" borderId="0" xfId="0" applyFont="1" applyFill="1" applyAlignment="1">
      <alignment vertical="center" wrapText="1"/>
    </xf>
    <xf numFmtId="0" fontId="6" fillId="5" borderId="0" xfId="0" applyFont="1" applyFill="1" applyAlignment="1">
      <alignment horizontal="center" vertical="center" wrapText="1"/>
    </xf>
    <xf numFmtId="0" fontId="0" fillId="5" borderId="0" xfId="0" applyFill="1" applyAlignment="1">
      <alignment vertical="center"/>
    </xf>
    <xf numFmtId="0" fontId="0" fillId="5" borderId="0" xfId="0" applyFill="1" applyAlignment="1">
      <alignment horizontal="left"/>
    </xf>
    <xf numFmtId="0" fontId="15" fillId="5" borderId="0" xfId="0" applyFont="1" applyFill="1" applyAlignment="1">
      <alignment horizontal="center" vertical="center"/>
    </xf>
    <xf numFmtId="0" fontId="16" fillId="5" borderId="0" xfId="0" applyFont="1" applyFill="1" applyAlignment="1">
      <alignment horizontal="center" vertical="center"/>
    </xf>
    <xf numFmtId="0" fontId="0" fillId="5" borderId="0" xfId="0" applyFill="1" applyAlignment="1">
      <alignment vertical="center" wrapText="1"/>
    </xf>
    <xf numFmtId="0" fontId="6" fillId="5" borderId="0" xfId="0" applyFont="1" applyFill="1" applyAlignment="1">
      <alignment horizontal="left" vertical="top" wrapText="1"/>
    </xf>
    <xf numFmtId="0" fontId="10" fillId="5" borderId="20" xfId="0" applyFont="1" applyFill="1" applyBorder="1" applyAlignment="1">
      <alignment horizontal="left" vertical="center"/>
    </xf>
    <xf numFmtId="0" fontId="10" fillId="5" borderId="20" xfId="0" applyFont="1" applyFill="1" applyBorder="1" applyAlignment="1">
      <alignment horizontal="right" vertical="center"/>
    </xf>
    <xf numFmtId="0" fontId="10" fillId="5" borderId="0" xfId="0" applyFont="1" applyFill="1" applyAlignment="1">
      <alignment horizontal="left" vertical="center"/>
    </xf>
    <xf numFmtId="0" fontId="10" fillId="5" borderId="0" xfId="0" applyFont="1" applyFill="1" applyAlignment="1">
      <alignment horizontal="right" vertical="center"/>
    </xf>
    <xf numFmtId="2" fontId="10" fillId="5" borderId="0" xfId="0" applyNumberFormat="1" applyFont="1" applyFill="1" applyAlignment="1">
      <alignment horizontal="right" vertical="center"/>
    </xf>
    <xf numFmtId="0" fontId="38" fillId="8" borderId="21" xfId="0" applyFont="1" applyFill="1" applyBorder="1" applyAlignment="1">
      <alignment horizontal="left" vertical="center"/>
    </xf>
    <xf numFmtId="0" fontId="10" fillId="8" borderId="21" xfId="0" applyFont="1" applyFill="1" applyBorder="1" applyAlignment="1">
      <alignment horizontal="right" vertical="center"/>
    </xf>
    <xf numFmtId="0" fontId="9" fillId="5" borderId="22" xfId="0" applyFont="1" applyFill="1" applyBorder="1" applyAlignment="1">
      <alignment horizontal="left" vertical="center"/>
    </xf>
    <xf numFmtId="0" fontId="7" fillId="5" borderId="22" xfId="0" applyFont="1" applyFill="1" applyBorder="1" applyAlignment="1">
      <alignment vertical="center"/>
    </xf>
    <xf numFmtId="0" fontId="7" fillId="5" borderId="0" xfId="0" applyFont="1" applyFill="1" applyAlignment="1">
      <alignment horizontal="left" vertical="center" wrapText="1"/>
    </xf>
    <xf numFmtId="0" fontId="4" fillId="2" borderId="23" xfId="0" applyFont="1" applyFill="1" applyBorder="1" applyAlignment="1">
      <alignment horizontal="center" vertical="center"/>
    </xf>
    <xf numFmtId="0" fontId="4" fillId="2" borderId="23" xfId="0" applyFont="1" applyFill="1" applyBorder="1" applyAlignment="1">
      <alignment horizontal="center" vertical="center" wrapText="1"/>
    </xf>
    <xf numFmtId="0" fontId="13" fillId="5" borderId="23" xfId="0" applyFont="1" applyFill="1" applyBorder="1" applyAlignment="1">
      <alignment horizontal="center" vertical="center"/>
    </xf>
    <xf numFmtId="0" fontId="6" fillId="0" borderId="23" xfId="0" applyFont="1" applyBorder="1" applyAlignment="1">
      <alignment vertical="center" wrapText="1"/>
    </xf>
    <xf numFmtId="0" fontId="6" fillId="0" borderId="23" xfId="0" applyFont="1" applyBorder="1" applyAlignment="1">
      <alignment horizontal="center" vertical="center" wrapText="1"/>
    </xf>
    <xf numFmtId="0" fontId="6" fillId="0" borderId="23" xfId="0" applyFont="1" applyBorder="1" applyAlignment="1">
      <alignment horizontal="left" vertical="top" wrapText="1"/>
    </xf>
    <xf numFmtId="0" fontId="6" fillId="5" borderId="23" xfId="0" applyFont="1" applyFill="1" applyBorder="1" applyAlignment="1">
      <alignment horizontal="center" vertical="center"/>
    </xf>
    <xf numFmtId="0" fontId="38" fillId="8" borderId="22" xfId="0" applyFont="1" applyFill="1" applyBorder="1" applyAlignment="1">
      <alignment horizontal="left" vertical="center"/>
    </xf>
    <xf numFmtId="9" fontId="8" fillId="0" borderId="23" xfId="0" applyNumberFormat="1" applyFont="1" applyBorder="1" applyAlignment="1">
      <alignment horizontal="center" vertical="center" wrapText="1"/>
    </xf>
    <xf numFmtId="2" fontId="0" fillId="5" borderId="0" xfId="0" applyNumberFormat="1" applyFill="1"/>
    <xf numFmtId="0" fontId="0" fillId="5" borderId="24" xfId="0" applyFill="1" applyBorder="1" applyAlignment="1">
      <alignment horizontal="left"/>
    </xf>
    <xf numFmtId="0" fontId="0" fillId="5" borderId="24" xfId="0" applyFill="1" applyBorder="1"/>
    <xf numFmtId="0" fontId="13" fillId="5" borderId="0" xfId="0" applyFont="1" applyFill="1" applyAlignment="1">
      <alignment horizontal="left"/>
    </xf>
    <xf numFmtId="0" fontId="8" fillId="5" borderId="0" xfId="0" applyFont="1" applyFill="1" applyAlignment="1">
      <alignment horizontal="left" vertical="center" wrapText="1"/>
    </xf>
    <xf numFmtId="172" fontId="8" fillId="0" borderId="23" xfId="0" applyNumberFormat="1" applyFont="1" applyBorder="1" applyAlignment="1">
      <alignment horizontal="center" vertical="center" wrapText="1"/>
    </xf>
    <xf numFmtId="0" fontId="6" fillId="5" borderId="0" xfId="0" applyFont="1" applyFill="1" applyAlignment="1">
      <alignment horizontal="center" vertical="center"/>
    </xf>
    <xf numFmtId="172" fontId="6" fillId="5" borderId="0" xfId="1734" applyNumberFormat="1" applyFont="1" applyFill="1" applyBorder="1" applyAlignment="1">
      <alignment horizontal="center" vertical="center" wrapText="1"/>
    </xf>
    <xf numFmtId="172" fontId="8" fillId="5" borderId="0" xfId="0" applyNumberFormat="1" applyFont="1" applyFill="1" applyAlignment="1">
      <alignment horizontal="center" vertical="center" wrapText="1"/>
    </xf>
    <xf numFmtId="0" fontId="0" fillId="5" borderId="24" xfId="0" applyFill="1" applyBorder="1" applyAlignment="1">
      <alignment horizontal="center" vertical="center"/>
    </xf>
    <xf numFmtId="0" fontId="13" fillId="5" borderId="24" xfId="0" applyFont="1" applyFill="1" applyBorder="1" applyAlignment="1">
      <alignment vertical="center"/>
    </xf>
    <xf numFmtId="0" fontId="13" fillId="5" borderId="0" xfId="0" applyFont="1" applyFill="1" applyAlignment="1">
      <alignment vertical="center"/>
    </xf>
    <xf numFmtId="171" fontId="13" fillId="5" borderId="0" xfId="1734" applyNumberFormat="1" applyFont="1" applyFill="1" applyBorder="1" applyAlignment="1">
      <alignment horizontal="center" vertical="center"/>
    </xf>
    <xf numFmtId="0" fontId="0" fillId="5" borderId="0" xfId="0" applyFill="1" applyAlignment="1">
      <alignment horizontal="center" vertical="center"/>
    </xf>
    <xf numFmtId="0" fontId="6" fillId="6" borderId="23" xfId="0" applyFont="1" applyFill="1" applyBorder="1" applyAlignment="1" applyProtection="1">
      <alignment horizontal="center" vertical="center" wrapText="1"/>
      <protection locked="0"/>
    </xf>
    <xf numFmtId="42" fontId="6" fillId="6" borderId="23" xfId="1735" applyFont="1" applyFill="1" applyBorder="1" applyAlignment="1" applyProtection="1">
      <alignment vertical="center" wrapText="1"/>
      <protection locked="0"/>
    </xf>
    <xf numFmtId="42" fontId="9" fillId="5" borderId="1" xfId="1735" applyFont="1" applyFill="1" applyBorder="1" applyAlignment="1">
      <alignment horizontal="right" vertical="center"/>
    </xf>
    <xf numFmtId="42" fontId="9" fillId="5" borderId="20" xfId="1735" applyFont="1" applyFill="1" applyBorder="1" applyAlignment="1">
      <alignment horizontal="right" vertical="center"/>
    </xf>
    <xf numFmtId="42" fontId="41" fillId="8" borderId="21" xfId="1735" applyFont="1" applyFill="1" applyBorder="1" applyAlignment="1">
      <alignment horizontal="right" vertical="center"/>
    </xf>
    <xf numFmtId="9" fontId="6" fillId="6" borderId="25" xfId="1736" applyFont="1" applyFill="1" applyBorder="1" applyAlignment="1" applyProtection="1">
      <alignment horizontal="center" vertical="center" wrapText="1"/>
      <protection locked="0"/>
    </xf>
    <xf numFmtId="172" fontId="6" fillId="32" borderId="23" xfId="1734" applyNumberFormat="1" applyFont="1" applyFill="1" applyBorder="1" applyAlignment="1">
      <alignment horizontal="center" vertical="center" wrapText="1"/>
    </xf>
    <xf numFmtId="0" fontId="6" fillId="5" borderId="0" xfId="0" applyFont="1" applyFill="1" applyAlignment="1">
      <alignment horizontal="right" vertical="center"/>
    </xf>
    <xf numFmtId="9" fontId="8" fillId="5" borderId="0" xfId="0" applyNumberFormat="1" applyFont="1" applyFill="1" applyAlignment="1">
      <alignment horizontal="center" vertical="center" wrapText="1"/>
    </xf>
    <xf numFmtId="42" fontId="11" fillId="5" borderId="0" xfId="1735" applyFont="1" applyFill="1" applyBorder="1" applyAlignment="1">
      <alignment horizontal="center" vertical="center"/>
    </xf>
    <xf numFmtId="0" fontId="8" fillId="5" borderId="0" xfId="0" applyFont="1" applyFill="1" applyAlignment="1">
      <alignment vertical="center" wrapText="1"/>
    </xf>
    <xf numFmtId="0" fontId="2" fillId="0" borderId="0" xfId="0" applyFont="1"/>
    <xf numFmtId="173" fontId="2" fillId="0" borderId="0" xfId="0" applyNumberFormat="1" applyFont="1" applyAlignment="1">
      <alignment vertical="center"/>
    </xf>
    <xf numFmtId="0" fontId="2" fillId="0" borderId="0" xfId="0" applyFont="1" applyAlignment="1">
      <alignment wrapText="1"/>
    </xf>
    <xf numFmtId="0" fontId="13" fillId="5" borderId="0" xfId="0" applyFont="1" applyFill="1" applyAlignment="1">
      <alignment vertical="center" wrapText="1"/>
    </xf>
    <xf numFmtId="0" fontId="47" fillId="5" borderId="0" xfId="0" applyFont="1" applyFill="1" applyAlignment="1">
      <alignment horizontal="left" vertical="top"/>
    </xf>
    <xf numFmtId="0" fontId="46" fillId="5" borderId="0" xfId="0" applyFont="1" applyFill="1" applyAlignment="1">
      <alignment horizontal="left" vertical="top"/>
    </xf>
    <xf numFmtId="0" fontId="52" fillId="5" borderId="0" xfId="0" applyFont="1" applyFill="1"/>
    <xf numFmtId="0" fontId="0" fillId="5" borderId="24" xfId="0" quotePrefix="1" applyFill="1" applyBorder="1" applyAlignment="1">
      <alignment horizontal="left"/>
    </xf>
    <xf numFmtId="0" fontId="6" fillId="5" borderId="38" xfId="0" applyFont="1" applyFill="1" applyBorder="1" applyAlignment="1">
      <alignment horizontal="center" vertical="center"/>
    </xf>
    <xf numFmtId="172" fontId="15" fillId="32" borderId="38" xfId="1734" applyNumberFormat="1" applyFont="1" applyFill="1" applyBorder="1" applyAlignment="1">
      <alignment horizontal="center" vertical="center" wrapText="1"/>
    </xf>
    <xf numFmtId="42" fontId="0" fillId="5" borderId="0" xfId="0" applyNumberFormat="1" applyFill="1"/>
    <xf numFmtId="44" fontId="0" fillId="5" borderId="0" xfId="1737" applyFont="1" applyFill="1"/>
    <xf numFmtId="0" fontId="6" fillId="34" borderId="23" xfId="0" applyFont="1" applyFill="1" applyBorder="1" applyAlignment="1" applyProtection="1">
      <alignment horizontal="center" vertical="center" wrapText="1"/>
      <protection locked="0"/>
    </xf>
    <xf numFmtId="0" fontId="6" fillId="34" borderId="23" xfId="0" applyFont="1" applyFill="1" applyBorder="1" applyAlignment="1">
      <alignment horizontal="center" vertical="center" wrapText="1"/>
    </xf>
    <xf numFmtId="0" fontId="57" fillId="0" borderId="23" xfId="0" applyFont="1" applyBorder="1" applyAlignment="1" applyProtection="1">
      <alignment horizontal="center" vertical="center" wrapText="1"/>
      <protection locked="0"/>
    </xf>
    <xf numFmtId="42" fontId="6" fillId="6" borderId="26" xfId="1735" applyFont="1" applyFill="1" applyBorder="1" applyAlignment="1" applyProtection="1">
      <alignment vertical="center" wrapText="1"/>
      <protection locked="0"/>
    </xf>
    <xf numFmtId="0" fontId="4" fillId="2" borderId="45" xfId="0" applyFont="1" applyFill="1" applyBorder="1" applyAlignment="1">
      <alignment horizontal="center" vertical="center"/>
    </xf>
    <xf numFmtId="0" fontId="1" fillId="0" borderId="0" xfId="0" applyFont="1"/>
    <xf numFmtId="0" fontId="1" fillId="5" borderId="0" xfId="0" applyFont="1" applyFill="1"/>
    <xf numFmtId="0" fontId="1" fillId="5" borderId="0" xfId="0" applyFont="1" applyFill="1" applyAlignment="1">
      <alignment wrapText="1"/>
    </xf>
    <xf numFmtId="0" fontId="46" fillId="5" borderId="46" xfId="0" quotePrefix="1" applyFont="1" applyFill="1" applyBorder="1" applyAlignment="1">
      <alignment horizontal="left" vertical="center" wrapText="1"/>
    </xf>
    <xf numFmtId="0" fontId="1" fillId="0" borderId="0" xfId="0" applyFont="1" applyAlignment="1">
      <alignment vertical="center"/>
    </xf>
    <xf numFmtId="0" fontId="39" fillId="33" borderId="46" xfId="0" applyFont="1" applyFill="1" applyBorder="1" applyAlignment="1">
      <alignment horizontal="center" vertical="center"/>
    </xf>
    <xf numFmtId="0" fontId="39" fillId="33" borderId="46" xfId="0" applyFont="1" applyFill="1" applyBorder="1" applyAlignment="1">
      <alignment horizontal="center" vertical="center" wrapText="1"/>
    </xf>
    <xf numFmtId="0" fontId="1" fillId="0" borderId="46" xfId="0" quotePrefix="1" applyFont="1" applyBorder="1" applyAlignment="1">
      <alignment horizontal="left" vertical="center"/>
    </xf>
    <xf numFmtId="0" fontId="1" fillId="0" borderId="46" xfId="0" applyFont="1" applyBorder="1" applyAlignment="1">
      <alignment vertical="center" wrapText="1"/>
    </xf>
    <xf numFmtId="0" fontId="1" fillId="0" borderId="46" xfId="0" applyFont="1" applyBorder="1" applyAlignment="1">
      <alignment horizontal="center" vertical="center"/>
    </xf>
    <xf numFmtId="0" fontId="1" fillId="0" borderId="0" xfId="0" applyFont="1" applyAlignment="1">
      <alignment vertical="center" wrapText="1"/>
    </xf>
    <xf numFmtId="0" fontId="8" fillId="5" borderId="46" xfId="0" applyFont="1" applyFill="1" applyBorder="1" applyAlignment="1">
      <alignment horizontal="center" vertical="center"/>
    </xf>
    <xf numFmtId="0" fontId="38" fillId="8" borderId="47" xfId="0" applyFont="1" applyFill="1" applyBorder="1" applyAlignment="1">
      <alignment horizontal="left" vertical="center"/>
    </xf>
    <xf numFmtId="0" fontId="0" fillId="5" borderId="46" xfId="0" applyFill="1" applyBorder="1" applyAlignment="1">
      <alignment vertical="center"/>
    </xf>
    <xf numFmtId="0" fontId="0" fillId="5" borderId="46" xfId="0" applyFill="1" applyBorder="1"/>
    <xf numFmtId="0" fontId="18" fillId="0" borderId="46" xfId="0" applyFont="1" applyBorder="1" applyAlignment="1">
      <alignment vertical="top" wrapText="1"/>
    </xf>
    <xf numFmtId="14" fontId="18" fillId="0" borderId="46" xfId="0" applyNumberFormat="1" applyFont="1" applyBorder="1" applyAlignment="1">
      <alignment horizontal="center"/>
    </xf>
    <xf numFmtId="0" fontId="13" fillId="5" borderId="45" xfId="0" applyFont="1" applyFill="1" applyBorder="1" applyAlignment="1">
      <alignment horizontal="center" vertical="center"/>
    </xf>
    <xf numFmtId="42" fontId="6" fillId="6" borderId="32" xfId="1735" applyFont="1" applyFill="1" applyBorder="1" applyAlignment="1" applyProtection="1">
      <alignment vertical="center" wrapText="1"/>
      <protection locked="0"/>
    </xf>
    <xf numFmtId="0" fontId="6" fillId="0" borderId="48" xfId="0" applyFont="1" applyBorder="1" applyAlignment="1">
      <alignment vertical="center" wrapText="1"/>
    </xf>
    <xf numFmtId="0" fontId="6" fillId="4" borderId="48" xfId="0" applyFont="1" applyFill="1" applyBorder="1" applyAlignment="1">
      <alignment vertical="center" wrapText="1"/>
    </xf>
    <xf numFmtId="0" fontId="6" fillId="0" borderId="49" xfId="0" applyFont="1" applyBorder="1" applyAlignment="1">
      <alignment vertical="center" wrapText="1"/>
    </xf>
    <xf numFmtId="0" fontId="6" fillId="34" borderId="46" xfId="0" applyFont="1" applyFill="1" applyBorder="1" applyAlignment="1" applyProtection="1">
      <alignment horizontal="center" vertical="center" wrapText="1"/>
      <protection locked="0"/>
    </xf>
    <xf numFmtId="0" fontId="6" fillId="34" borderId="46" xfId="0" applyFont="1" applyFill="1" applyBorder="1" applyAlignment="1">
      <alignment horizontal="center" vertical="center" wrapText="1"/>
    </xf>
    <xf numFmtId="0" fontId="57" fillId="0" borderId="45" xfId="0" applyFont="1" applyBorder="1" applyAlignment="1" applyProtection="1">
      <alignment horizontal="center" vertical="center" wrapText="1"/>
      <protection locked="0"/>
    </xf>
    <xf numFmtId="0" fontId="6" fillId="0" borderId="45" xfId="0" applyFont="1" applyBorder="1" applyAlignment="1">
      <alignment vertical="center" wrapText="1"/>
    </xf>
    <xf numFmtId="0" fontId="6" fillId="0" borderId="45" xfId="0" applyFont="1" applyBorder="1" applyAlignment="1">
      <alignment horizontal="center" vertical="center" wrapText="1"/>
    </xf>
    <xf numFmtId="0" fontId="13" fillId="5" borderId="46" xfId="0" applyFont="1" applyFill="1" applyBorder="1" applyAlignment="1">
      <alignment horizontal="center" vertical="center"/>
    </xf>
    <xf numFmtId="0" fontId="6" fillId="0" borderId="46" xfId="0" quotePrefix="1" applyFont="1" applyBorder="1" applyAlignment="1">
      <alignment horizontal="left" vertical="center" wrapText="1"/>
    </xf>
    <xf numFmtId="0" fontId="6" fillId="0" borderId="46" xfId="0" applyFont="1" applyBorder="1" applyAlignment="1">
      <alignment horizontal="center" vertical="center" wrapText="1"/>
    </xf>
    <xf numFmtId="42" fontId="6" fillId="6" borderId="46" xfId="1735" applyFont="1" applyFill="1" applyBorder="1" applyAlignment="1" applyProtection="1">
      <alignment vertical="center" wrapText="1"/>
      <protection locked="0"/>
    </xf>
    <xf numFmtId="0" fontId="57" fillId="0" borderId="46" xfId="0" applyFont="1" applyBorder="1" applyAlignment="1" applyProtection="1">
      <alignment horizontal="center" vertical="center" wrapText="1"/>
      <protection locked="0"/>
    </xf>
    <xf numFmtId="42" fontId="9" fillId="5" borderId="0" xfId="1735" applyFont="1" applyFill="1" applyBorder="1" applyAlignment="1">
      <alignment horizontal="right" vertical="center"/>
    </xf>
    <xf numFmtId="42" fontId="6" fillId="0" borderId="0" xfId="0" applyNumberFormat="1" applyFont="1" applyAlignment="1">
      <alignment vertical="center" wrapText="1"/>
    </xf>
    <xf numFmtId="42" fontId="0" fillId="5" borderId="0" xfId="1735" applyFont="1" applyFill="1"/>
    <xf numFmtId="0" fontId="50" fillId="0" borderId="0" xfId="0" applyFont="1"/>
    <xf numFmtId="0" fontId="58" fillId="0" borderId="0" xfId="0" applyFont="1" applyAlignment="1">
      <alignment horizontal="justify" vertical="center"/>
    </xf>
    <xf numFmtId="0" fontId="6" fillId="34" borderId="41" xfId="0" applyFont="1" applyFill="1" applyBorder="1" applyAlignment="1">
      <alignment horizontal="center" vertical="center" wrapText="1"/>
    </xf>
    <xf numFmtId="0" fontId="6" fillId="0" borderId="46" xfId="0" applyFont="1" applyBorder="1" applyAlignment="1">
      <alignment vertical="center" wrapText="1"/>
    </xf>
    <xf numFmtId="0" fontId="6" fillId="6" borderId="46" xfId="0" applyFont="1" applyFill="1" applyBorder="1" applyAlignment="1" applyProtection="1">
      <alignment horizontal="center" vertical="center" wrapText="1"/>
      <protection locked="0"/>
    </xf>
    <xf numFmtId="0" fontId="4" fillId="2" borderId="50" xfId="0" applyFont="1" applyFill="1" applyBorder="1" applyAlignment="1">
      <alignment horizontal="center" vertical="center"/>
    </xf>
    <xf numFmtId="42" fontId="6" fillId="35" borderId="32" xfId="1735" applyFont="1" applyFill="1" applyBorder="1" applyAlignment="1" applyProtection="1">
      <alignment vertical="center" wrapText="1"/>
      <protection locked="0"/>
    </xf>
    <xf numFmtId="42" fontId="6" fillId="3" borderId="26" xfId="1735" applyFont="1" applyFill="1" applyBorder="1" applyAlignment="1" applyProtection="1">
      <alignment vertical="center" wrapText="1"/>
      <protection locked="0"/>
    </xf>
    <xf numFmtId="42" fontId="6" fillId="3" borderId="32" xfId="1735" applyFont="1" applyFill="1" applyBorder="1" applyAlignment="1" applyProtection="1">
      <alignment vertical="center" wrapText="1"/>
      <protection locked="0"/>
    </xf>
    <xf numFmtId="0" fontId="0" fillId="3" borderId="46" xfId="0" applyFill="1" applyBorder="1"/>
    <xf numFmtId="42" fontId="6" fillId="36" borderId="23" xfId="0" applyNumberFormat="1" applyFont="1" applyFill="1" applyBorder="1" applyAlignment="1" applyProtection="1">
      <alignment vertical="center" wrapText="1"/>
      <protection locked="0"/>
    </xf>
    <xf numFmtId="174" fontId="5" fillId="0" borderId="46" xfId="1737" applyNumberFormat="1" applyFont="1" applyFill="1" applyBorder="1" applyAlignment="1" applyProtection="1">
      <alignment horizontal="center" vertical="center"/>
      <protection locked="0"/>
    </xf>
    <xf numFmtId="0" fontId="4" fillId="2" borderId="46" xfId="0" applyFont="1" applyFill="1" applyBorder="1" applyAlignment="1">
      <alignment horizontal="center" vertical="center"/>
    </xf>
    <xf numFmtId="0" fontId="4" fillId="2" borderId="46" xfId="0" applyFont="1" applyFill="1" applyBorder="1" applyAlignment="1">
      <alignment horizontal="center" vertical="center" wrapText="1"/>
    </xf>
    <xf numFmtId="0" fontId="5" fillId="0" borderId="0" xfId="0" applyFont="1"/>
    <xf numFmtId="174" fontId="60" fillId="38" borderId="46" xfId="1737" applyNumberFormat="1" applyFont="1" applyFill="1" applyBorder="1" applyAlignment="1">
      <alignment horizontal="center" vertical="center" wrapText="1"/>
    </xf>
    <xf numFmtId="174" fontId="60" fillId="39" borderId="46" xfId="1737" applyNumberFormat="1" applyFont="1" applyFill="1" applyBorder="1" applyAlignment="1">
      <alignment horizontal="center" vertical="center" wrapText="1"/>
    </xf>
    <xf numFmtId="174" fontId="60" fillId="40" borderId="46" xfId="1737" applyNumberFormat="1" applyFont="1" applyFill="1" applyBorder="1" applyAlignment="1">
      <alignment horizontal="center" vertical="center" wrapText="1"/>
    </xf>
    <xf numFmtId="174" fontId="60" fillId="42" borderId="46" xfId="1737" applyNumberFormat="1" applyFont="1" applyFill="1" applyBorder="1" applyAlignment="1">
      <alignment horizontal="center" vertical="center" wrapText="1"/>
    </xf>
    <xf numFmtId="174" fontId="17" fillId="41" borderId="46" xfId="1737" applyNumberFormat="1" applyFont="1" applyFill="1" applyBorder="1" applyAlignment="1">
      <alignment horizontal="center" vertical="center" wrapText="1"/>
    </xf>
    <xf numFmtId="0" fontId="61" fillId="43" borderId="46" xfId="0" applyFont="1" applyFill="1" applyBorder="1" applyAlignment="1">
      <alignment horizontal="justify" vertical="center" wrapText="1"/>
    </xf>
    <xf numFmtId="0" fontId="5" fillId="43" borderId="46" xfId="0" applyFont="1" applyFill="1" applyBorder="1" applyAlignment="1">
      <alignment vertical="center"/>
    </xf>
    <xf numFmtId="174" fontId="5" fillId="43" borderId="46" xfId="1737" applyNumberFormat="1" applyFont="1" applyFill="1" applyBorder="1" applyAlignment="1">
      <alignment vertical="center"/>
    </xf>
    <xf numFmtId="174" fontId="5" fillId="33" borderId="46" xfId="1737" applyNumberFormat="1" applyFont="1" applyFill="1" applyBorder="1" applyAlignment="1">
      <alignment vertical="center"/>
    </xf>
    <xf numFmtId="174" fontId="5" fillId="36" borderId="46" xfId="1737" applyNumberFormat="1" applyFont="1" applyFill="1" applyBorder="1" applyAlignment="1">
      <alignment vertical="center"/>
    </xf>
    <xf numFmtId="9" fontId="5" fillId="0" borderId="0" xfId="1736" applyFont="1"/>
    <xf numFmtId="0" fontId="6" fillId="0" borderId="52" xfId="0" applyFont="1" applyBorder="1" applyAlignment="1">
      <alignment vertical="center" wrapText="1"/>
    </xf>
    <xf numFmtId="1" fontId="5" fillId="0" borderId="46" xfId="0" applyNumberFormat="1" applyFont="1" applyBorder="1" applyAlignment="1">
      <alignment horizontal="center" vertical="center" wrapText="1"/>
    </xf>
    <xf numFmtId="9" fontId="5" fillId="0" borderId="46" xfId="0" applyNumberFormat="1" applyFont="1" applyBorder="1" applyAlignment="1">
      <alignment horizontal="center" vertical="center" wrapText="1"/>
    </xf>
    <xf numFmtId="1" fontId="5" fillId="0" borderId="46" xfId="11" applyNumberFormat="1" applyFont="1" applyFill="1" applyBorder="1" applyAlignment="1">
      <alignment horizontal="center" vertical="center" wrapText="1"/>
    </xf>
    <xf numFmtId="174" fontId="5" fillId="0" borderId="46" xfId="1737" applyNumberFormat="1" applyFont="1" applyFill="1" applyBorder="1" applyAlignment="1">
      <alignment vertical="center" wrapText="1"/>
    </xf>
    <xf numFmtId="42" fontId="5" fillId="0" borderId="46" xfId="1735" applyFont="1" applyFill="1" applyBorder="1" applyAlignment="1" applyProtection="1">
      <alignment horizontal="center" vertical="center"/>
      <protection locked="0"/>
    </xf>
    <xf numFmtId="174" fontId="5" fillId="0" borderId="46" xfId="1737" applyNumberFormat="1" applyFont="1" applyFill="1" applyBorder="1" applyAlignment="1">
      <alignment vertical="center"/>
    </xf>
    <xf numFmtId="174" fontId="5" fillId="0" borderId="0" xfId="0" applyNumberFormat="1" applyFont="1"/>
    <xf numFmtId="1" fontId="5" fillId="0" borderId="46" xfId="0" applyNumberFormat="1" applyFont="1" applyBorder="1" applyAlignment="1">
      <alignment horizontal="center" vertical="center"/>
    </xf>
    <xf numFmtId="9" fontId="60" fillId="0" borderId="0" xfId="1736" applyFont="1"/>
    <xf numFmtId="1" fontId="62" fillId="0" borderId="46" xfId="0" applyNumberFormat="1" applyFont="1" applyBorder="1" applyAlignment="1">
      <alignment horizontal="center" vertical="center"/>
    </xf>
    <xf numFmtId="9" fontId="62" fillId="0" borderId="46" xfId="0" applyNumberFormat="1" applyFont="1" applyBorder="1" applyAlignment="1">
      <alignment horizontal="center" vertical="center" wrapText="1"/>
    </xf>
    <xf numFmtId="1" fontId="62" fillId="0" borderId="46" xfId="11" applyNumberFormat="1" applyFont="1" applyFill="1" applyBorder="1" applyAlignment="1">
      <alignment horizontal="center" vertical="center" wrapText="1"/>
    </xf>
    <xf numFmtId="174" fontId="62" fillId="0" borderId="46" xfId="1737" applyNumberFormat="1" applyFont="1" applyFill="1" applyBorder="1" applyAlignment="1">
      <alignment vertical="center"/>
    </xf>
    <xf numFmtId="174" fontId="62" fillId="0" borderId="46" xfId="1737" applyNumberFormat="1" applyFont="1" applyFill="1" applyBorder="1" applyAlignment="1" applyProtection="1">
      <alignment horizontal="center" vertical="center"/>
      <protection locked="0"/>
    </xf>
    <xf numFmtId="0" fontId="62" fillId="0" borderId="0" xfId="0" applyFont="1"/>
    <xf numFmtId="1" fontId="20" fillId="0" borderId="46" xfId="0" applyNumberFormat="1" applyFont="1" applyBorder="1" applyAlignment="1">
      <alignment horizontal="center" vertical="center"/>
    </xf>
    <xf numFmtId="9" fontId="5" fillId="0" borderId="0" xfId="0" applyNumberFormat="1" applyFont="1"/>
    <xf numFmtId="0" fontId="60" fillId="0" borderId="46" xfId="0" applyFont="1" applyBorder="1" applyAlignment="1">
      <alignment vertical="center" wrapText="1"/>
    </xf>
    <xf numFmtId="42" fontId="61" fillId="43" borderId="46" xfId="1735" applyFont="1" applyFill="1" applyBorder="1" applyAlignment="1">
      <alignment horizontal="justify" vertical="center" wrapText="1"/>
    </xf>
    <xf numFmtId="174" fontId="60" fillId="0" borderId="46" xfId="1737" applyNumberFormat="1" applyFont="1" applyFill="1" applyBorder="1" applyAlignment="1" applyProtection="1">
      <alignment horizontal="center" vertical="center"/>
      <protection locked="0"/>
    </xf>
    <xf numFmtId="42" fontId="5" fillId="43" borderId="46" xfId="1735" applyFont="1" applyFill="1" applyBorder="1" applyAlignment="1">
      <alignment vertical="center"/>
    </xf>
    <xf numFmtId="0" fontId="5" fillId="0" borderId="46" xfId="0" applyFont="1" applyBorder="1" applyAlignment="1">
      <alignment horizontal="center" vertical="center"/>
    </xf>
    <xf numFmtId="174" fontId="20" fillId="0" borderId="46" xfId="175" applyNumberFormat="1" applyFont="1" applyFill="1" applyBorder="1" applyAlignment="1">
      <alignment vertical="center"/>
    </xf>
    <xf numFmtId="174" fontId="5" fillId="0" borderId="46" xfId="4" applyNumberFormat="1" applyFont="1" applyFill="1" applyBorder="1" applyAlignment="1" applyProtection="1">
      <alignment horizontal="center" vertical="center"/>
      <protection locked="0"/>
    </xf>
    <xf numFmtId="0" fontId="63" fillId="0" borderId="0" xfId="0" applyFont="1"/>
    <xf numFmtId="0" fontId="60" fillId="0" borderId="46" xfId="0" applyFont="1" applyBorder="1" applyAlignment="1">
      <alignment horizontal="center" vertical="center"/>
    </xf>
    <xf numFmtId="9" fontId="60" fillId="0" borderId="46" xfId="1736" applyFont="1" applyBorder="1" applyAlignment="1">
      <alignment horizontal="center" vertical="center"/>
    </xf>
    <xf numFmtId="0" fontId="62" fillId="0" borderId="46" xfId="0" applyFont="1" applyBorder="1" applyAlignment="1">
      <alignment horizontal="center" vertical="center"/>
    </xf>
    <xf numFmtId="174" fontId="62" fillId="0" borderId="46" xfId="1737" applyNumberFormat="1" applyFont="1" applyFill="1" applyBorder="1" applyAlignment="1">
      <alignment vertical="center" wrapText="1"/>
    </xf>
    <xf numFmtId="0" fontId="40" fillId="0" borderId="46" xfId="0" applyFont="1" applyBorder="1" applyAlignment="1">
      <alignment horizontal="center"/>
    </xf>
    <xf numFmtId="0" fontId="20" fillId="0" borderId="46" xfId="0" applyFont="1" applyBorder="1" applyAlignment="1">
      <alignment horizontal="center" vertical="center"/>
    </xf>
    <xf numFmtId="0" fontId="40" fillId="0" borderId="46" xfId="0" applyFont="1" applyBorder="1" applyAlignment="1">
      <alignment horizontal="center" vertical="center"/>
    </xf>
    <xf numFmtId="174" fontId="20" fillId="0" borderId="46" xfId="1738" applyNumberFormat="1" applyFont="1" applyFill="1" applyBorder="1" applyAlignment="1" applyProtection="1">
      <alignment horizontal="center" vertical="center"/>
      <protection locked="0"/>
    </xf>
    <xf numFmtId="10" fontId="20" fillId="0" borderId="46" xfId="0" applyNumberFormat="1" applyFont="1" applyBorder="1" applyAlignment="1">
      <alignment horizontal="center" vertical="center"/>
    </xf>
    <xf numFmtId="174" fontId="20" fillId="0" borderId="46" xfId="0" applyNumberFormat="1" applyFont="1" applyBorder="1" applyAlignment="1">
      <alignment horizontal="center" vertical="center"/>
    </xf>
    <xf numFmtId="0" fontId="60" fillId="43" borderId="46" xfId="0" applyFont="1" applyFill="1" applyBorder="1" applyAlignment="1">
      <alignment vertical="center" textRotation="90" wrapText="1"/>
    </xf>
    <xf numFmtId="42" fontId="60" fillId="43" borderId="46" xfId="1735" applyFont="1" applyFill="1" applyBorder="1" applyAlignment="1">
      <alignment vertical="center" textRotation="90" wrapText="1"/>
    </xf>
    <xf numFmtId="174" fontId="20" fillId="0" borderId="46" xfId="1737" applyNumberFormat="1" applyFont="1" applyFill="1" applyBorder="1" applyAlignment="1">
      <alignment horizontal="center" vertical="center"/>
    </xf>
    <xf numFmtId="0" fontId="5" fillId="0" borderId="46" xfId="0" applyFont="1" applyBorder="1" applyAlignment="1">
      <alignment horizontal="center" vertical="center" wrapText="1"/>
    </xf>
    <xf numFmtId="0" fontId="20" fillId="0" borderId="46" xfId="0" applyFont="1" applyBorder="1" applyAlignment="1" applyProtection="1">
      <alignment horizontal="center" vertical="center" wrapText="1"/>
      <protection locked="0"/>
    </xf>
    <xf numFmtId="42" fontId="5" fillId="0" borderId="46" xfId="1735" applyFont="1" applyFill="1" applyBorder="1" applyAlignment="1">
      <alignment vertical="center" wrapText="1"/>
    </xf>
    <xf numFmtId="0" fontId="5" fillId="0" borderId="46" xfId="0" applyFont="1" applyBorder="1" applyAlignment="1" applyProtection="1">
      <alignment horizontal="center" vertical="center" wrapText="1"/>
      <protection locked="0"/>
    </xf>
    <xf numFmtId="0" fontId="6" fillId="0" borderId="23" xfId="0" quotePrefix="1" applyFont="1" applyBorder="1" applyAlignment="1">
      <alignment horizontal="left" vertical="center" wrapText="1"/>
    </xf>
    <xf numFmtId="0" fontId="64" fillId="43" borderId="46" xfId="0" applyFont="1" applyFill="1" applyBorder="1" applyAlignment="1">
      <alignment horizontal="justify" vertical="center" wrapText="1"/>
    </xf>
    <xf numFmtId="42" fontId="64" fillId="43" borderId="46" xfId="1735" applyFont="1" applyFill="1" applyBorder="1" applyAlignment="1">
      <alignment horizontal="justify" vertical="center" wrapText="1"/>
    </xf>
    <xf numFmtId="174" fontId="40" fillId="0" borderId="53" xfId="1737" applyNumberFormat="1" applyFont="1" applyFill="1" applyBorder="1" applyAlignment="1">
      <alignment horizontal="center" vertical="center"/>
    </xf>
    <xf numFmtId="0" fontId="60" fillId="0" borderId="54" xfId="0" applyFont="1" applyBorder="1" applyAlignment="1">
      <alignment vertical="center" wrapText="1"/>
    </xf>
    <xf numFmtId="174" fontId="40" fillId="0" borderId="34" xfId="1737" applyNumberFormat="1" applyFont="1" applyFill="1" applyBorder="1" applyAlignment="1">
      <alignment horizontal="center" vertical="center"/>
    </xf>
    <xf numFmtId="174" fontId="60" fillId="0" borderId="46" xfId="0" applyNumberFormat="1" applyFont="1" applyBorder="1"/>
    <xf numFmtId="9" fontId="60" fillId="0" borderId="46" xfId="1736" applyFont="1" applyBorder="1" applyAlignment="1">
      <alignment horizontal="left" vertical="center" wrapText="1"/>
    </xf>
    <xf numFmtId="42" fontId="60" fillId="0" borderId="46" xfId="1735" applyFont="1" applyBorder="1" applyAlignment="1">
      <alignment vertical="center" wrapText="1"/>
    </xf>
    <xf numFmtId="174" fontId="5" fillId="33" borderId="55" xfId="1737" applyNumberFormat="1" applyFont="1" applyFill="1" applyBorder="1" applyAlignment="1">
      <alignment vertical="center" wrapText="1"/>
    </xf>
    <xf numFmtId="9" fontId="60" fillId="43" borderId="28" xfId="0" applyNumberFormat="1" applyFont="1" applyFill="1" applyBorder="1" applyAlignment="1">
      <alignment horizontal="right" vertical="center"/>
    </xf>
    <xf numFmtId="174" fontId="5" fillId="33" borderId="56" xfId="1737" applyNumberFormat="1" applyFont="1" applyFill="1" applyBorder="1" applyAlignment="1">
      <alignment vertical="center" wrapText="1"/>
    </xf>
    <xf numFmtId="9" fontId="60" fillId="0" borderId="46" xfId="0" applyNumberFormat="1" applyFont="1" applyBorder="1" applyAlignment="1">
      <alignment vertical="center" wrapText="1"/>
    </xf>
    <xf numFmtId="174" fontId="40" fillId="0" borderId="57" xfId="1737" applyNumberFormat="1" applyFont="1" applyFill="1" applyBorder="1" applyAlignment="1">
      <alignment horizontal="center" vertical="center"/>
    </xf>
    <xf numFmtId="9" fontId="60" fillId="0" borderId="42" xfId="0" applyNumberFormat="1" applyFont="1" applyBorder="1" applyAlignment="1">
      <alignment vertical="center" wrapText="1"/>
    </xf>
    <xf numFmtId="174" fontId="60" fillId="0" borderId="0" xfId="0" applyNumberFormat="1" applyFont="1"/>
    <xf numFmtId="0" fontId="60" fillId="0" borderId="0" xfId="0" applyFont="1" applyAlignment="1">
      <alignment horizontal="center" vertical="center" wrapText="1"/>
    </xf>
    <xf numFmtId="175" fontId="60" fillId="0" borderId="0" xfId="11" applyNumberFormat="1" applyFont="1" applyBorder="1" applyAlignment="1">
      <alignment horizontal="center" vertical="center" wrapText="1"/>
    </xf>
    <xf numFmtId="174" fontId="40" fillId="0" borderId="0" xfId="1737" applyNumberFormat="1" applyFont="1" applyBorder="1" applyAlignment="1">
      <alignment horizontal="center" vertical="center"/>
    </xf>
    <xf numFmtId="174" fontId="5" fillId="5" borderId="0" xfId="1737" applyNumberFormat="1" applyFont="1" applyFill="1" applyAlignment="1">
      <alignment vertical="center"/>
    </xf>
    <xf numFmtId="0" fontId="60" fillId="40" borderId="6" xfId="0" applyFont="1" applyFill="1" applyBorder="1" applyAlignment="1">
      <alignment horizontal="left" vertical="center"/>
    </xf>
    <xf numFmtId="0" fontId="60" fillId="40" borderId="58" xfId="0" applyFont="1" applyFill="1" applyBorder="1" applyAlignment="1">
      <alignment horizontal="left" vertical="center"/>
    </xf>
    <xf numFmtId="174" fontId="40" fillId="40" borderId="55" xfId="1737" applyNumberFormat="1" applyFont="1" applyFill="1" applyBorder="1" applyAlignment="1">
      <alignment horizontal="center" vertical="center"/>
    </xf>
    <xf numFmtId="174" fontId="40" fillId="40" borderId="59" xfId="1737" applyNumberFormat="1" applyFont="1" applyFill="1" applyBorder="1" applyAlignment="1">
      <alignment horizontal="center" vertical="center"/>
    </xf>
    <xf numFmtId="174" fontId="40" fillId="40" borderId="60" xfId="1737" applyNumberFormat="1" applyFont="1" applyFill="1" applyBorder="1" applyAlignment="1">
      <alignment horizontal="center" vertical="center"/>
    </xf>
    <xf numFmtId="174" fontId="40" fillId="40" borderId="0" xfId="1737" applyNumberFormat="1" applyFont="1" applyFill="1" applyBorder="1" applyAlignment="1">
      <alignment horizontal="center" vertical="center"/>
    </xf>
    <xf numFmtId="9" fontId="40" fillId="40" borderId="55" xfId="1736" applyFont="1" applyFill="1" applyBorder="1" applyAlignment="1">
      <alignment horizontal="center" vertical="center"/>
    </xf>
    <xf numFmtId="10" fontId="40" fillId="40" borderId="61" xfId="1736" applyNumberFormat="1" applyFont="1" applyFill="1" applyBorder="1" applyAlignment="1">
      <alignment horizontal="center" vertical="center"/>
    </xf>
    <xf numFmtId="10" fontId="40" fillId="40" borderId="62" xfId="1736" applyNumberFormat="1" applyFont="1" applyFill="1" applyBorder="1" applyAlignment="1">
      <alignment horizontal="center" vertical="center"/>
    </xf>
    <xf numFmtId="10" fontId="40" fillId="40" borderId="55" xfId="1736" applyNumberFormat="1" applyFont="1" applyFill="1" applyBorder="1" applyAlignment="1">
      <alignment horizontal="center" vertical="center"/>
    </xf>
    <xf numFmtId="10" fontId="60" fillId="45" borderId="6" xfId="0" applyNumberFormat="1" applyFont="1" applyFill="1" applyBorder="1" applyAlignment="1">
      <alignment horizontal="center"/>
    </xf>
    <xf numFmtId="0" fontId="20" fillId="0" borderId="0" xfId="0" applyFont="1"/>
    <xf numFmtId="9" fontId="40" fillId="45" borderId="56" xfId="0" applyNumberFormat="1" applyFont="1" applyFill="1" applyBorder="1" applyAlignment="1">
      <alignment horizontal="center"/>
    </xf>
    <xf numFmtId="10" fontId="60" fillId="45" borderId="56" xfId="0" applyNumberFormat="1" applyFont="1" applyFill="1" applyBorder="1" applyAlignment="1">
      <alignment horizontal="center"/>
    </xf>
    <xf numFmtId="9" fontId="60" fillId="0" borderId="0" xfId="0" applyNumberFormat="1" applyFont="1" applyAlignment="1">
      <alignment horizontal="center"/>
    </xf>
    <xf numFmtId="0" fontId="60" fillId="0" borderId="0" xfId="0" applyFont="1"/>
    <xf numFmtId="174" fontId="60" fillId="8" borderId="0" xfId="0" applyNumberFormat="1" applyFont="1" applyFill="1"/>
    <xf numFmtId="0" fontId="60" fillId="0" borderId="0" xfId="0" applyFont="1" applyAlignment="1">
      <alignment horizontal="left"/>
    </xf>
    <xf numFmtId="0" fontId="47" fillId="46" borderId="0" xfId="0" applyFont="1" applyFill="1"/>
    <xf numFmtId="174" fontId="47" fillId="46" borderId="0" xfId="0" applyNumberFormat="1" applyFont="1" applyFill="1"/>
    <xf numFmtId="0" fontId="47" fillId="0" borderId="0" xfId="0" applyFont="1"/>
    <xf numFmtId="0" fontId="60" fillId="47" borderId="43" xfId="0" applyFont="1" applyFill="1" applyBorder="1" applyAlignment="1">
      <alignment horizontal="center"/>
    </xf>
    <xf numFmtId="0" fontId="60" fillId="48" borderId="46" xfId="0" applyFont="1" applyFill="1" applyBorder="1" applyAlignment="1">
      <alignment horizontal="center" vertical="center"/>
    </xf>
    <xf numFmtId="0" fontId="60" fillId="2" borderId="46" xfId="0" applyFont="1" applyFill="1" applyBorder="1" applyAlignment="1">
      <alignment horizontal="center" vertical="center"/>
    </xf>
    <xf numFmtId="0" fontId="65" fillId="0" borderId="46" xfId="0" applyFont="1" applyBorder="1" applyAlignment="1">
      <alignment horizontal="left" vertical="center" wrapText="1"/>
    </xf>
    <xf numFmtId="0" fontId="66" fillId="2" borderId="46" xfId="0" applyFont="1" applyFill="1" applyBorder="1" applyAlignment="1">
      <alignment vertical="center" wrapText="1"/>
    </xf>
    <xf numFmtId="10" fontId="20" fillId="0" borderId="46" xfId="1736" applyNumberFormat="1" applyFont="1" applyFill="1" applyBorder="1" applyAlignment="1">
      <alignment horizontal="center" vertical="center"/>
    </xf>
    <xf numFmtId="10" fontId="20" fillId="35" borderId="46" xfId="1736" applyNumberFormat="1" applyFont="1" applyFill="1" applyBorder="1" applyAlignment="1">
      <alignment horizontal="center" vertical="center"/>
    </xf>
    <xf numFmtId="10" fontId="5" fillId="35" borderId="46" xfId="1736" applyNumberFormat="1" applyFont="1" applyFill="1" applyBorder="1" applyAlignment="1">
      <alignment horizontal="center" vertical="center"/>
    </xf>
    <xf numFmtId="0" fontId="65" fillId="43" borderId="46" xfId="0" applyFont="1" applyFill="1" applyBorder="1" applyAlignment="1">
      <alignment horizontal="left" vertical="center" wrapText="1"/>
    </xf>
    <xf numFmtId="10" fontId="5" fillId="0" borderId="46" xfId="1736" applyNumberFormat="1" applyFont="1" applyBorder="1" applyAlignment="1">
      <alignment horizontal="center" vertical="center"/>
    </xf>
    <xf numFmtId="42" fontId="5" fillId="0" borderId="0" xfId="1736" applyNumberFormat="1" applyFont="1"/>
    <xf numFmtId="0" fontId="9" fillId="5" borderId="0" xfId="0" applyFont="1" applyFill="1" applyAlignment="1">
      <alignment horizontal="left" vertical="center"/>
    </xf>
    <xf numFmtId="0" fontId="8" fillId="5" borderId="0" xfId="0" applyFont="1" applyFill="1" applyAlignment="1">
      <alignment horizontal="center" vertical="center"/>
    </xf>
    <xf numFmtId="0" fontId="17" fillId="5" borderId="0" xfId="0" applyFont="1" applyFill="1" applyAlignment="1">
      <alignment vertical="center"/>
    </xf>
    <xf numFmtId="9" fontId="6" fillId="5" borderId="0" xfId="1736" applyFont="1" applyFill="1" applyBorder="1" applyAlignment="1" applyProtection="1">
      <alignment horizontal="center" vertical="center" wrapText="1"/>
      <protection locked="0"/>
    </xf>
    <xf numFmtId="0" fontId="4" fillId="2" borderId="25" xfId="0" applyFont="1" applyFill="1" applyBorder="1" applyAlignment="1">
      <alignment horizontal="center" vertical="center"/>
    </xf>
    <xf numFmtId="0" fontId="6" fillId="5" borderId="25" xfId="0" applyFont="1" applyFill="1" applyBorder="1" applyAlignment="1">
      <alignment horizontal="center" vertical="center"/>
    </xf>
    <xf numFmtId="9" fontId="0" fillId="0" borderId="46" xfId="0" applyNumberFormat="1" applyBorder="1"/>
    <xf numFmtId="0" fontId="0" fillId="0" borderId="46" xfId="0" applyBorder="1"/>
    <xf numFmtId="0" fontId="68" fillId="2" borderId="46" xfId="0" applyFont="1" applyFill="1" applyBorder="1" applyAlignment="1">
      <alignment horizontal="center" vertical="center" wrapText="1"/>
    </xf>
    <xf numFmtId="0" fontId="69" fillId="2" borderId="45" xfId="0" applyFont="1" applyFill="1" applyBorder="1" applyAlignment="1">
      <alignment horizontal="center" vertical="center" wrapText="1"/>
    </xf>
    <xf numFmtId="0" fontId="6" fillId="5" borderId="0" xfId="0" applyFont="1" applyFill="1" applyAlignment="1">
      <alignment horizontal="left" vertical="center"/>
    </xf>
    <xf numFmtId="0" fontId="72" fillId="49" borderId="63" xfId="0" applyFont="1" applyFill="1" applyBorder="1" applyAlignment="1">
      <alignment horizontal="justify" vertical="center" wrapText="1"/>
    </xf>
    <xf numFmtId="0" fontId="72" fillId="49" borderId="64" xfId="0" applyFont="1" applyFill="1" applyBorder="1" applyAlignment="1">
      <alignment horizontal="justify" vertical="center" wrapText="1"/>
    </xf>
    <xf numFmtId="10" fontId="0" fillId="0" borderId="46" xfId="0" applyNumberFormat="1" applyBorder="1" applyAlignment="1">
      <alignment horizontal="center" vertical="center"/>
    </xf>
    <xf numFmtId="0" fontId="17" fillId="3" borderId="25" xfId="0" applyFont="1" applyFill="1" applyBorder="1" applyAlignment="1">
      <alignment vertical="center"/>
    </xf>
    <xf numFmtId="0" fontId="17" fillId="3" borderId="29" xfId="0" applyFont="1" applyFill="1" applyBorder="1" applyAlignment="1">
      <alignment vertical="center"/>
    </xf>
    <xf numFmtId="44" fontId="0" fillId="5" borderId="0" xfId="0" applyNumberFormat="1" applyFill="1"/>
    <xf numFmtId="9" fontId="0" fillId="5" borderId="0" xfId="1736" applyFont="1" applyFill="1"/>
    <xf numFmtId="0" fontId="4" fillId="2" borderId="0" xfId="0" applyFont="1" applyFill="1" applyAlignment="1">
      <alignment horizontal="center" vertical="center" wrapText="1"/>
    </xf>
    <xf numFmtId="0" fontId="4" fillId="2" borderId="45"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6" fillId="5" borderId="46" xfId="0" applyFont="1" applyFill="1" applyBorder="1" applyAlignment="1">
      <alignment horizontal="center" vertical="center"/>
    </xf>
    <xf numFmtId="0" fontId="6" fillId="0" borderId="46" xfId="0" applyFont="1" applyBorder="1" applyAlignment="1">
      <alignment horizontal="left" vertical="top" wrapText="1"/>
    </xf>
    <xf numFmtId="44" fontId="0" fillId="0" borderId="46" xfId="1737" applyFont="1" applyBorder="1" applyAlignment="1">
      <alignment horizontal="center" vertical="center"/>
    </xf>
    <xf numFmtId="44" fontId="0" fillId="0" borderId="46" xfId="1737" applyFont="1" applyBorder="1" applyAlignment="1">
      <alignment vertical="center"/>
    </xf>
    <xf numFmtId="172" fontId="6" fillId="32" borderId="46" xfId="1734" applyNumberFormat="1" applyFont="1" applyFill="1" applyBorder="1" applyAlignment="1">
      <alignment horizontal="center" vertical="center" wrapText="1"/>
    </xf>
    <xf numFmtId="172" fontId="8" fillId="0" borderId="46" xfId="0" applyNumberFormat="1" applyFont="1" applyBorder="1" applyAlignment="1">
      <alignment horizontal="center" vertical="center" wrapText="1"/>
    </xf>
    <xf numFmtId="0" fontId="74" fillId="0" borderId="0" xfId="0" applyFont="1"/>
    <xf numFmtId="6" fontId="71" fillId="0" borderId="46" xfId="0" applyNumberFormat="1" applyFont="1" applyBorder="1" applyAlignment="1">
      <alignment vertical="center"/>
    </xf>
    <xf numFmtId="0" fontId="68" fillId="2" borderId="43" xfId="0" applyFont="1" applyFill="1" applyBorder="1" applyAlignment="1">
      <alignment horizontal="center" vertical="center" wrapText="1"/>
    </xf>
    <xf numFmtId="0" fontId="72" fillId="49" borderId="66" xfId="0" applyFont="1" applyFill="1" applyBorder="1" applyAlignment="1">
      <alignment horizontal="justify" vertical="center" wrapText="1"/>
    </xf>
    <xf numFmtId="0" fontId="73" fillId="49" borderId="67" xfId="0" applyFont="1" applyFill="1" applyBorder="1" applyAlignment="1">
      <alignment horizontal="center" vertical="center"/>
    </xf>
    <xf numFmtId="6" fontId="72" fillId="49" borderId="47" xfId="0" applyNumberFormat="1" applyFont="1" applyFill="1" applyBorder="1" applyAlignment="1">
      <alignment horizontal="center" vertical="center"/>
    </xf>
    <xf numFmtId="0" fontId="6" fillId="6" borderId="46" xfId="0" applyFont="1" applyFill="1" applyBorder="1" applyAlignment="1">
      <alignment horizontal="center" vertical="center" wrapText="1"/>
    </xf>
    <xf numFmtId="9" fontId="6" fillId="0" borderId="46" xfId="0" applyNumberFormat="1" applyFont="1" applyBorder="1" applyAlignment="1" applyProtection="1">
      <alignment horizontal="center" vertical="center" wrapText="1"/>
      <protection locked="0"/>
    </xf>
    <xf numFmtId="9" fontId="6" fillId="0" borderId="41" xfId="0" applyNumberFormat="1" applyFont="1" applyBorder="1" applyAlignment="1" applyProtection="1">
      <alignment horizontal="center" vertical="center" wrapText="1"/>
      <protection locked="0"/>
    </xf>
    <xf numFmtId="42" fontId="6" fillId="35" borderId="46" xfId="1735" applyFont="1" applyFill="1" applyBorder="1" applyAlignment="1" applyProtection="1">
      <alignment vertical="center" wrapText="1"/>
      <protection locked="0"/>
    </xf>
    <xf numFmtId="0" fontId="13" fillId="50" borderId="45" xfId="0" applyFont="1" applyFill="1" applyBorder="1" applyAlignment="1">
      <alignment horizontal="center" vertical="center"/>
    </xf>
    <xf numFmtId="0" fontId="6" fillId="50" borderId="49" xfId="0" applyFont="1" applyFill="1" applyBorder="1" applyAlignment="1">
      <alignment vertical="center" wrapText="1"/>
    </xf>
    <xf numFmtId="0" fontId="6" fillId="50" borderId="46" xfId="0" applyFont="1" applyFill="1" applyBorder="1" applyAlignment="1">
      <alignment horizontal="center" vertical="center" wrapText="1"/>
    </xf>
    <xf numFmtId="0" fontId="6" fillId="50" borderId="46" xfId="0" applyFont="1" applyFill="1" applyBorder="1" applyAlignment="1" applyProtection="1">
      <alignment horizontal="center" vertical="center" wrapText="1"/>
      <protection locked="0"/>
    </xf>
    <xf numFmtId="9" fontId="6" fillId="50" borderId="41" xfId="0" applyNumberFormat="1" applyFont="1" applyFill="1" applyBorder="1" applyAlignment="1" applyProtection="1">
      <alignment horizontal="center" vertical="center" wrapText="1"/>
      <protection locked="0"/>
    </xf>
    <xf numFmtId="42" fontId="6" fillId="50" borderId="0" xfId="1735" applyFont="1" applyFill="1" applyBorder="1" applyAlignment="1" applyProtection="1">
      <alignment vertical="center" wrapText="1"/>
      <protection locked="0"/>
    </xf>
    <xf numFmtId="42" fontId="6" fillId="50" borderId="32" xfId="1735" applyFont="1" applyFill="1" applyBorder="1" applyAlignment="1" applyProtection="1">
      <alignment vertical="center" wrapText="1"/>
      <protection locked="0"/>
    </xf>
    <xf numFmtId="42" fontId="6" fillId="50" borderId="45" xfId="0" applyNumberFormat="1" applyFont="1" applyFill="1" applyBorder="1" applyAlignment="1" applyProtection="1">
      <alignment vertical="center" wrapText="1"/>
      <protection locked="0"/>
    </xf>
    <xf numFmtId="0" fontId="6" fillId="6" borderId="29" xfId="0" applyFont="1" applyFill="1" applyBorder="1" applyAlignment="1" applyProtection="1">
      <alignment horizontal="center" vertical="center" wrapText="1"/>
      <protection locked="0"/>
    </xf>
    <xf numFmtId="0" fontId="6" fillId="6" borderId="31" xfId="0" applyFont="1" applyFill="1" applyBorder="1" applyAlignment="1" applyProtection="1">
      <alignment horizontal="center" vertical="center" wrapText="1"/>
      <protection locked="0"/>
    </xf>
    <xf numFmtId="0" fontId="77" fillId="0" borderId="0" xfId="0" applyFont="1" applyAlignment="1">
      <alignment vertical="center" wrapText="1"/>
    </xf>
    <xf numFmtId="42" fontId="15" fillId="0" borderId="0" xfId="0" applyNumberFormat="1" applyFont="1"/>
    <xf numFmtId="42" fontId="6" fillId="50" borderId="41" xfId="1735" applyFont="1" applyFill="1" applyBorder="1" applyAlignment="1" applyProtection="1">
      <alignment vertical="center" wrapText="1"/>
      <protection locked="0"/>
    </xf>
    <xf numFmtId="42" fontId="6" fillId="3" borderId="46" xfId="1735" applyFont="1" applyFill="1" applyBorder="1" applyAlignment="1" applyProtection="1">
      <alignment vertical="center" wrapText="1"/>
      <protection locked="0"/>
    </xf>
    <xf numFmtId="0" fontId="13" fillId="5" borderId="25" xfId="0" applyFont="1" applyFill="1" applyBorder="1" applyAlignment="1">
      <alignment horizontal="center" vertical="center"/>
    </xf>
    <xf numFmtId="0" fontId="13" fillId="5" borderId="30" xfId="0" applyFont="1" applyFill="1" applyBorder="1" applyAlignment="1">
      <alignment horizontal="center" vertical="center"/>
    </xf>
    <xf numFmtId="0" fontId="6" fillId="34" borderId="45" xfId="0" applyFont="1" applyFill="1" applyBorder="1" applyAlignment="1" applyProtection="1">
      <alignment horizontal="center" vertical="center" wrapText="1"/>
      <protection locked="0"/>
    </xf>
    <xf numFmtId="42" fontId="6" fillId="35" borderId="23" xfId="1735" applyFont="1" applyFill="1" applyBorder="1" applyAlignment="1" applyProtection="1">
      <alignment vertical="center" wrapText="1"/>
      <protection locked="0"/>
    </xf>
    <xf numFmtId="42" fontId="6" fillId="35" borderId="45" xfId="1735" applyFont="1" applyFill="1" applyBorder="1" applyAlignment="1" applyProtection="1">
      <alignment vertical="center" wrapText="1"/>
      <protection locked="0"/>
    </xf>
    <xf numFmtId="174" fontId="0" fillId="5" borderId="0" xfId="1737" applyNumberFormat="1" applyFont="1" applyFill="1"/>
    <xf numFmtId="174" fontId="0" fillId="5" borderId="0" xfId="0" applyNumberFormat="1" applyFill="1"/>
    <xf numFmtId="42" fontId="6" fillId="35" borderId="31" xfId="1735" applyFont="1" applyFill="1" applyBorder="1" applyAlignment="1" applyProtection="1">
      <alignment vertical="center" wrapText="1"/>
      <protection locked="0"/>
    </xf>
    <xf numFmtId="0" fontId="78" fillId="0" borderId="68" xfId="0" applyFont="1" applyBorder="1" applyAlignment="1">
      <alignment horizontal="center"/>
    </xf>
    <xf numFmtId="0" fontId="78" fillId="0" borderId="69" xfId="0" applyFont="1" applyBorder="1" applyAlignment="1">
      <alignment horizontal="center"/>
    </xf>
    <xf numFmtId="176" fontId="78" fillId="0" borderId="63" xfId="1735" applyNumberFormat="1" applyFont="1" applyBorder="1" applyAlignment="1">
      <alignment horizontal="center"/>
    </xf>
    <xf numFmtId="0" fontId="78" fillId="0" borderId="0" xfId="0" applyFont="1" applyAlignment="1">
      <alignment horizontal="center"/>
    </xf>
    <xf numFmtId="0" fontId="80" fillId="5" borderId="70" xfId="0" applyFont="1" applyFill="1" applyBorder="1" applyAlignment="1">
      <alignment horizontal="center" vertical="center"/>
    </xf>
    <xf numFmtId="0" fontId="78" fillId="0" borderId="65" xfId="0" applyFont="1" applyBorder="1" applyAlignment="1">
      <alignment horizontal="center"/>
    </xf>
    <xf numFmtId="176" fontId="78" fillId="0" borderId="64" xfId="1735" applyNumberFormat="1" applyFont="1" applyBorder="1" applyAlignment="1">
      <alignment horizontal="center"/>
    </xf>
    <xf numFmtId="0" fontId="81" fillId="0" borderId="0" xfId="0" applyFont="1" applyAlignment="1">
      <alignment horizontal="center"/>
    </xf>
    <xf numFmtId="0" fontId="80" fillId="52" borderId="0" xfId="0" applyFont="1" applyFill="1" applyAlignment="1">
      <alignment horizontal="center"/>
    </xf>
    <xf numFmtId="0" fontId="80" fillId="53" borderId="71" xfId="0" applyFont="1" applyFill="1" applyBorder="1" applyAlignment="1">
      <alignment horizontal="center" vertical="center" wrapText="1"/>
    </xf>
    <xf numFmtId="0" fontId="80" fillId="53" borderId="46" xfId="0" applyFont="1" applyFill="1" applyBorder="1" applyAlignment="1">
      <alignment horizontal="center" vertical="center" wrapText="1"/>
    </xf>
    <xf numFmtId="9" fontId="80" fillId="53" borderId="46" xfId="0" applyNumberFormat="1" applyFont="1" applyFill="1" applyBorder="1" applyAlignment="1">
      <alignment horizontal="center" vertical="center" wrapText="1"/>
    </xf>
    <xf numFmtId="177" fontId="80" fillId="53" borderId="46" xfId="0" applyNumberFormat="1" applyFont="1" applyFill="1" applyBorder="1" applyAlignment="1">
      <alignment horizontal="center" vertical="center"/>
    </xf>
    <xf numFmtId="176" fontId="80" fillId="53" borderId="66" xfId="1735" applyNumberFormat="1" applyFont="1" applyFill="1" applyBorder="1" applyAlignment="1">
      <alignment horizontal="center" vertical="center"/>
    </xf>
    <xf numFmtId="0" fontId="80" fillId="0" borderId="0" xfId="0" applyFont="1" applyAlignment="1">
      <alignment horizontal="center"/>
    </xf>
    <xf numFmtId="0" fontId="78" fillId="0" borderId="71" xfId="0" applyFont="1" applyBorder="1" applyAlignment="1">
      <alignment horizontal="center"/>
    </xf>
    <xf numFmtId="0" fontId="78" fillId="0" borderId="46" xfId="0" applyFont="1" applyBorder="1" applyAlignment="1">
      <alignment horizontal="center"/>
    </xf>
    <xf numFmtId="0" fontId="78" fillId="0" borderId="46" xfId="0" applyFont="1" applyBorder="1" applyAlignment="1">
      <alignment horizontal="center" vertical="center" wrapText="1"/>
    </xf>
    <xf numFmtId="176" fontId="78" fillId="0" borderId="66" xfId="1735" applyNumberFormat="1" applyFont="1" applyFill="1" applyBorder="1" applyAlignment="1">
      <alignment horizontal="center"/>
    </xf>
    <xf numFmtId="0" fontId="80" fillId="53" borderId="71" xfId="0" applyFont="1" applyFill="1" applyBorder="1" applyAlignment="1">
      <alignment horizontal="center"/>
    </xf>
    <xf numFmtId="0" fontId="80" fillId="53" borderId="46" xfId="0" applyFont="1" applyFill="1" applyBorder="1" applyAlignment="1">
      <alignment horizontal="center"/>
    </xf>
    <xf numFmtId="176" fontId="80" fillId="53" borderId="66" xfId="1735" applyNumberFormat="1" applyFont="1" applyFill="1" applyBorder="1" applyAlignment="1">
      <alignment horizontal="center"/>
    </xf>
    <xf numFmtId="176" fontId="78" fillId="0" borderId="66" xfId="1735" applyNumberFormat="1" applyFont="1" applyFill="1" applyBorder="1" applyAlignment="1">
      <alignment horizontal="center" vertical="center"/>
    </xf>
    <xf numFmtId="0" fontId="80" fillId="53" borderId="61" xfId="0" applyFont="1" applyFill="1" applyBorder="1" applyAlignment="1">
      <alignment horizontal="center"/>
    </xf>
    <xf numFmtId="0" fontId="80" fillId="53" borderId="72" xfId="0" applyFont="1" applyFill="1" applyBorder="1" applyAlignment="1">
      <alignment horizontal="center"/>
    </xf>
    <xf numFmtId="176" fontId="80" fillId="53" borderId="62" xfId="1735" applyNumberFormat="1" applyFont="1" applyFill="1" applyBorder="1" applyAlignment="1">
      <alignment horizontal="center" vertical="center"/>
    </xf>
    <xf numFmtId="176" fontId="78" fillId="0" borderId="0" xfId="1735" applyNumberFormat="1" applyFont="1" applyFill="1" applyAlignment="1">
      <alignment horizontal="center"/>
    </xf>
    <xf numFmtId="176" fontId="78" fillId="0" borderId="0" xfId="1735" applyNumberFormat="1" applyFont="1" applyAlignment="1">
      <alignment horizontal="center"/>
    </xf>
    <xf numFmtId="0" fontId="78" fillId="0" borderId="46" xfId="0" applyFont="1" applyBorder="1" applyAlignment="1">
      <alignment horizontal="center" wrapText="1"/>
    </xf>
    <xf numFmtId="0" fontId="78" fillId="0" borderId="71" xfId="0" applyFont="1" applyBorder="1" applyAlignment="1">
      <alignment horizontal="center" vertical="center"/>
    </xf>
    <xf numFmtId="176" fontId="80" fillId="40" borderId="66" xfId="1735" applyNumberFormat="1" applyFont="1" applyFill="1" applyBorder="1" applyAlignment="1">
      <alignment horizontal="center"/>
    </xf>
    <xf numFmtId="42" fontId="6" fillId="40" borderId="26" xfId="1735" applyFont="1" applyFill="1" applyBorder="1" applyAlignment="1" applyProtection="1">
      <alignment vertical="center" wrapText="1"/>
      <protection locked="0"/>
    </xf>
    <xf numFmtId="42" fontId="6" fillId="40" borderId="32" xfId="1735" applyFont="1" applyFill="1" applyBorder="1" applyAlignment="1" applyProtection="1">
      <alignment vertical="center" wrapText="1"/>
      <protection locked="0"/>
    </xf>
    <xf numFmtId="0" fontId="80" fillId="5" borderId="74" xfId="0" applyFont="1" applyFill="1" applyBorder="1" applyAlignment="1">
      <alignment horizontal="center"/>
    </xf>
    <xf numFmtId="0" fontId="80" fillId="5" borderId="41" xfId="0" applyFont="1" applyFill="1" applyBorder="1" applyAlignment="1">
      <alignment horizontal="center"/>
    </xf>
    <xf numFmtId="0" fontId="78" fillId="5" borderId="0" xfId="0" applyFont="1" applyFill="1" applyAlignment="1">
      <alignment horizontal="center"/>
    </xf>
    <xf numFmtId="0" fontId="80" fillId="0" borderId="41" xfId="0" applyFont="1" applyBorder="1" applyAlignment="1">
      <alignment horizontal="center"/>
    </xf>
    <xf numFmtId="176" fontId="80" fillId="0" borderId="75" xfId="1735" applyNumberFormat="1" applyFont="1" applyFill="1" applyBorder="1" applyAlignment="1">
      <alignment horizontal="center" vertical="center"/>
    </xf>
    <xf numFmtId="0" fontId="78" fillId="0" borderId="41" xfId="0" applyFont="1" applyBorder="1" applyAlignment="1">
      <alignment horizontal="center"/>
    </xf>
    <xf numFmtId="176" fontId="78" fillId="0" borderId="76" xfId="1735" applyNumberFormat="1" applyFont="1" applyFill="1" applyBorder="1" applyAlignment="1">
      <alignment horizontal="center" vertical="center"/>
    </xf>
    <xf numFmtId="0" fontId="78" fillId="0" borderId="74" xfId="0" applyFont="1" applyBorder="1" applyAlignment="1">
      <alignment horizontal="center"/>
    </xf>
    <xf numFmtId="0" fontId="78" fillId="0" borderId="73" xfId="0" applyFont="1" applyBorder="1" applyAlignment="1">
      <alignment horizontal="center"/>
    </xf>
    <xf numFmtId="176" fontId="78" fillId="0" borderId="75" xfId="1735" applyNumberFormat="1" applyFont="1" applyFill="1" applyBorder="1" applyAlignment="1">
      <alignment horizontal="center" vertical="center"/>
    </xf>
    <xf numFmtId="42" fontId="0" fillId="0" borderId="46" xfId="0" applyNumberFormat="1" applyBorder="1" applyAlignment="1">
      <alignment vertical="center"/>
    </xf>
    <xf numFmtId="0" fontId="0" fillId="0" borderId="0" xfId="0" applyAlignment="1">
      <alignment vertical="center"/>
    </xf>
    <xf numFmtId="0" fontId="9" fillId="5" borderId="0" xfId="0" applyFont="1" applyFill="1"/>
    <xf numFmtId="0" fontId="82" fillId="5" borderId="0" xfId="0" applyFont="1" applyFill="1"/>
    <xf numFmtId="0" fontId="83" fillId="36" borderId="0" xfId="0" applyFont="1" applyFill="1"/>
    <xf numFmtId="0" fontId="82" fillId="36" borderId="0" xfId="0" applyFont="1" applyFill="1"/>
    <xf numFmtId="0" fontId="86" fillId="40" borderId="46" xfId="0" applyFont="1" applyFill="1" applyBorder="1" applyAlignment="1">
      <alignment horizontal="center" vertical="center" wrapText="1"/>
    </xf>
    <xf numFmtId="0" fontId="87" fillId="5" borderId="46" xfId="0" applyFont="1" applyFill="1" applyBorder="1" applyAlignment="1">
      <alignment horizontal="justify" vertical="center" wrapText="1"/>
    </xf>
    <xf numFmtId="0" fontId="90" fillId="5" borderId="46" xfId="0" applyFont="1" applyFill="1" applyBorder="1" applyAlignment="1">
      <alignment horizontal="center" vertical="center" wrapText="1"/>
    </xf>
    <xf numFmtId="0" fontId="88" fillId="5" borderId="46" xfId="0" applyFont="1" applyFill="1" applyBorder="1" applyAlignment="1">
      <alignment horizontal="justify" vertical="center" wrapText="1"/>
    </xf>
    <xf numFmtId="0" fontId="84" fillId="5" borderId="46" xfId="0" applyFont="1" applyFill="1" applyBorder="1" applyAlignment="1">
      <alignment horizontal="center" vertical="center" wrapText="1"/>
    </xf>
    <xf numFmtId="0" fontId="83" fillId="5" borderId="0" xfId="0" applyFont="1" applyFill="1"/>
    <xf numFmtId="0" fontId="83" fillId="55" borderId="46" xfId="0" applyFont="1" applyFill="1" applyBorder="1" applyAlignment="1">
      <alignment horizontal="center" vertical="center"/>
    </xf>
    <xf numFmtId="0" fontId="83" fillId="55" borderId="46" xfId="0" applyFont="1" applyFill="1" applyBorder="1" applyAlignment="1">
      <alignment horizontal="center" vertical="center" wrapText="1"/>
    </xf>
    <xf numFmtId="0" fontId="83" fillId="40" borderId="41" xfId="0" applyFont="1" applyFill="1" applyBorder="1" applyAlignment="1">
      <alignment horizontal="center" vertical="center" wrapText="1"/>
    </xf>
    <xf numFmtId="174" fontId="82" fillId="0" borderId="46" xfId="1737" applyNumberFormat="1" applyFont="1" applyBorder="1" applyAlignment="1">
      <alignment horizontal="center" vertical="center"/>
    </xf>
    <xf numFmtId="174" fontId="82" fillId="0" borderId="46" xfId="0" applyNumberFormat="1" applyFont="1" applyBorder="1" applyAlignment="1">
      <alignment horizontal="center"/>
    </xf>
    <xf numFmtId="0" fontId="82" fillId="36" borderId="46" xfId="0" applyFont="1" applyFill="1" applyBorder="1" applyAlignment="1">
      <alignment horizontal="center"/>
    </xf>
    <xf numFmtId="0" fontId="82" fillId="0" borderId="46" xfId="0" applyFont="1" applyBorder="1" applyAlignment="1">
      <alignment horizontal="center"/>
    </xf>
    <xf numFmtId="0" fontId="83" fillId="0" borderId="0" xfId="0" applyFont="1"/>
    <xf numFmtId="0" fontId="83" fillId="55" borderId="46" xfId="0" applyFont="1" applyFill="1" applyBorder="1" applyAlignment="1">
      <alignment horizontal="left" vertical="center"/>
    </xf>
    <xf numFmtId="0" fontId="82" fillId="0" borderId="46" xfId="0" applyFont="1" applyBorder="1"/>
    <xf numFmtId="178" fontId="82" fillId="0" borderId="46" xfId="0" applyNumberFormat="1" applyFont="1" applyBorder="1"/>
    <xf numFmtId="178" fontId="82" fillId="5" borderId="46" xfId="0" applyNumberFormat="1" applyFont="1" applyFill="1" applyBorder="1"/>
    <xf numFmtId="0" fontId="83" fillId="0" borderId="0" xfId="0" applyFont="1" applyAlignment="1">
      <alignment vertical="top"/>
    </xf>
    <xf numFmtId="0" fontId="85" fillId="56" borderId="46" xfId="0" applyFont="1" applyFill="1" applyBorder="1" applyAlignment="1">
      <alignment horizontal="center"/>
    </xf>
    <xf numFmtId="0" fontId="85" fillId="57" borderId="46" xfId="0" applyFont="1" applyFill="1" applyBorder="1" applyAlignment="1">
      <alignment horizontal="center" vertical="center" wrapText="1"/>
    </xf>
    <xf numFmtId="0" fontId="85" fillId="0" borderId="46" xfId="0" applyFont="1" applyBorder="1" applyAlignment="1">
      <alignment horizontal="center" vertical="center" wrapText="1"/>
    </xf>
    <xf numFmtId="0" fontId="86" fillId="0" borderId="46" xfId="0" applyFont="1" applyBorder="1" applyAlignment="1">
      <alignment horizontal="center" vertical="center" wrapText="1"/>
    </xf>
    <xf numFmtId="6" fontId="86" fillId="0" borderId="46" xfId="0" applyNumberFormat="1" applyFont="1" applyBorder="1" applyAlignment="1">
      <alignment vertical="center" wrapText="1"/>
    </xf>
    <xf numFmtId="0" fontId="85" fillId="5" borderId="0" xfId="0" applyFont="1" applyFill="1" applyAlignment="1">
      <alignment horizontal="center" vertical="center" wrapText="1"/>
    </xf>
    <xf numFmtId="0" fontId="86" fillId="5" borderId="0" xfId="0" applyFont="1" applyFill="1" applyAlignment="1">
      <alignment horizontal="center" vertical="center" wrapText="1"/>
    </xf>
    <xf numFmtId="6" fontId="86" fillId="5" borderId="0" xfId="0" applyNumberFormat="1" applyFont="1" applyFill="1" applyAlignment="1">
      <alignment vertical="center" wrapText="1"/>
    </xf>
    <xf numFmtId="0" fontId="83" fillId="5" borderId="0" xfId="0" applyFont="1" applyFill="1" applyAlignment="1">
      <alignment horizontal="center" vertical="center" wrapText="1"/>
    </xf>
    <xf numFmtId="0" fontId="84" fillId="55" borderId="46" xfId="0" applyFont="1" applyFill="1" applyBorder="1" applyAlignment="1">
      <alignment horizontal="center" vertical="center" wrapText="1"/>
    </xf>
    <xf numFmtId="6" fontId="90" fillId="0" borderId="46" xfId="0" applyNumberFormat="1" applyFont="1" applyBorder="1" applyAlignment="1">
      <alignment vertical="center"/>
    </xf>
    <xf numFmtId="0" fontId="90" fillId="0" borderId="46" xfId="0" applyFont="1" applyBorder="1" applyAlignment="1">
      <alignment horizontal="center" vertical="center"/>
    </xf>
    <xf numFmtId="6" fontId="84" fillId="47" borderId="46" xfId="0" applyNumberFormat="1" applyFont="1" applyFill="1" applyBorder="1" applyAlignment="1">
      <alignment horizontal="center" vertical="center"/>
    </xf>
    <xf numFmtId="174" fontId="82" fillId="5" borderId="0" xfId="0" applyNumberFormat="1" applyFont="1" applyFill="1"/>
    <xf numFmtId="0" fontId="83" fillId="54" borderId="46" xfId="0" applyFont="1" applyFill="1" applyBorder="1" applyAlignment="1">
      <alignment horizontal="center" vertical="center" wrapText="1"/>
    </xf>
    <xf numFmtId="0" fontId="82" fillId="0" borderId="46" xfId="0" applyFont="1" applyBorder="1" applyAlignment="1">
      <alignment horizontal="left" vertical="center" wrapText="1"/>
    </xf>
    <xf numFmtId="6" fontId="82" fillId="0" borderId="46" xfId="0" applyNumberFormat="1" applyFont="1" applyBorder="1" applyAlignment="1">
      <alignment horizontal="center" vertical="center" wrapText="1"/>
    </xf>
    <xf numFmtId="176" fontId="82" fillId="0" borderId="46" xfId="0" applyNumberFormat="1" applyFont="1" applyBorder="1" applyAlignment="1">
      <alignment horizontal="center" vertical="center"/>
    </xf>
    <xf numFmtId="6" fontId="82" fillId="5" borderId="46" xfId="0" applyNumberFormat="1" applyFont="1" applyFill="1" applyBorder="1" applyAlignment="1">
      <alignment vertical="center" wrapText="1"/>
    </xf>
    <xf numFmtId="10" fontId="82" fillId="5" borderId="46" xfId="0" applyNumberFormat="1" applyFont="1" applyFill="1" applyBorder="1" applyAlignment="1">
      <alignment horizontal="center"/>
    </xf>
    <xf numFmtId="49" fontId="82" fillId="5" borderId="46" xfId="11" applyNumberFormat="1" applyFont="1" applyFill="1" applyBorder="1" applyAlignment="1">
      <alignment horizontal="center"/>
    </xf>
    <xf numFmtId="176" fontId="82" fillId="5" borderId="46" xfId="2" applyNumberFormat="1" applyFont="1" applyFill="1" applyBorder="1" applyAlignment="1">
      <alignment horizontal="center" vertical="center" wrapText="1"/>
    </xf>
    <xf numFmtId="176" fontId="82" fillId="5" borderId="46" xfId="0" applyNumberFormat="1" applyFont="1" applyFill="1" applyBorder="1"/>
    <xf numFmtId="0" fontId="83" fillId="54" borderId="41" xfId="0" applyFont="1" applyFill="1" applyBorder="1" applyAlignment="1">
      <alignment horizontal="center" vertical="center" wrapText="1"/>
    </xf>
    <xf numFmtId="0" fontId="83" fillId="55" borderId="41" xfId="0" applyFont="1" applyFill="1" applyBorder="1" applyAlignment="1">
      <alignment horizontal="center" vertical="center" wrapText="1"/>
    </xf>
    <xf numFmtId="0" fontId="82" fillId="0" borderId="46" xfId="0" applyFont="1" applyBorder="1" applyAlignment="1">
      <alignment horizontal="center" vertical="center" wrapText="1"/>
    </xf>
    <xf numFmtId="0" fontId="82" fillId="5" borderId="46" xfId="0" applyFont="1" applyFill="1" applyBorder="1" applyAlignment="1">
      <alignment horizontal="center" vertical="center" wrapText="1"/>
    </xf>
    <xf numFmtId="6" fontId="82" fillId="5" borderId="46" xfId="0" applyNumberFormat="1" applyFont="1" applyFill="1" applyBorder="1" applyAlignment="1">
      <alignment horizontal="center" vertical="center" wrapText="1"/>
    </xf>
    <xf numFmtId="0" fontId="82" fillId="5" borderId="0" xfId="0" applyFont="1" applyFill="1" applyAlignment="1">
      <alignment horizontal="center" vertical="center" wrapText="1"/>
    </xf>
    <xf numFmtId="6" fontId="82" fillId="5" borderId="0" xfId="0" applyNumberFormat="1" applyFont="1" applyFill="1" applyAlignment="1">
      <alignment horizontal="center" vertical="center" wrapText="1"/>
    </xf>
    <xf numFmtId="0" fontId="82" fillId="5" borderId="46" xfId="0" applyFont="1" applyFill="1" applyBorder="1" applyAlignment="1">
      <alignment horizontal="left" vertical="center" wrapText="1"/>
    </xf>
    <xf numFmtId="179" fontId="82" fillId="47" borderId="46" xfId="0" applyNumberFormat="1" applyFont="1" applyFill="1" applyBorder="1" applyAlignment="1">
      <alignment horizontal="left" vertical="center"/>
    </xf>
    <xf numFmtId="179" fontId="82" fillId="0" borderId="46" xfId="0" applyNumberFormat="1" applyFont="1" applyBorder="1" applyAlignment="1">
      <alignment horizontal="left" vertical="center"/>
    </xf>
    <xf numFmtId="0" fontId="92" fillId="58" borderId="77" xfId="0" applyFont="1" applyFill="1" applyBorder="1" applyAlignment="1">
      <alignment horizontal="center" vertical="center" wrapText="1"/>
    </xf>
    <xf numFmtId="173" fontId="92" fillId="38" borderId="77" xfId="0" applyNumberFormat="1" applyFont="1" applyFill="1" applyBorder="1" applyAlignment="1" applyProtection="1">
      <alignment vertical="center"/>
      <protection locked="0"/>
    </xf>
    <xf numFmtId="0" fontId="92" fillId="58" borderId="80" xfId="0" applyFont="1" applyFill="1" applyBorder="1" applyAlignment="1">
      <alignment horizontal="center" vertical="center" wrapText="1"/>
    </xf>
    <xf numFmtId="0" fontId="92" fillId="58" borderId="81" xfId="0" applyFont="1" applyFill="1" applyBorder="1" applyAlignment="1">
      <alignment horizontal="center" vertical="center" wrapText="1"/>
    </xf>
    <xf numFmtId="173" fontId="92" fillId="0" borderId="81" xfId="0" applyNumberFormat="1" applyFont="1" applyBorder="1" applyAlignment="1">
      <alignment vertical="center"/>
    </xf>
    <xf numFmtId="173" fontId="4" fillId="58" borderId="81" xfId="0" applyNumberFormat="1" applyFont="1" applyFill="1" applyBorder="1" applyAlignment="1">
      <alignment vertical="center"/>
    </xf>
    <xf numFmtId="0" fontId="5" fillId="0" borderId="65" xfId="0" applyFont="1" applyBorder="1" applyAlignment="1">
      <alignment vertical="center"/>
    </xf>
    <xf numFmtId="0" fontId="5" fillId="0" borderId="0" xfId="0" applyFont="1" applyAlignment="1">
      <alignment horizontal="center" vertical="center"/>
    </xf>
    <xf numFmtId="173" fontId="4" fillId="0" borderId="81" xfId="0" applyNumberFormat="1" applyFont="1" applyBorder="1" applyAlignment="1">
      <alignment vertical="center"/>
    </xf>
    <xf numFmtId="6" fontId="0" fillId="5" borderId="46" xfId="0" applyNumberFormat="1" applyFill="1" applyBorder="1"/>
    <xf numFmtId="176" fontId="78" fillId="47" borderId="66" xfId="1735" applyNumberFormat="1" applyFont="1" applyFill="1" applyBorder="1" applyAlignment="1">
      <alignment horizontal="center"/>
    </xf>
    <xf numFmtId="1" fontId="0" fillId="5" borderId="0" xfId="0" applyNumberFormat="1" applyFill="1"/>
    <xf numFmtId="0" fontId="93" fillId="0" borderId="46" xfId="0" applyFont="1" applyBorder="1" applyAlignment="1">
      <alignment vertical="center" wrapText="1"/>
    </xf>
    <xf numFmtId="0" fontId="93" fillId="6" borderId="46" xfId="0" applyFont="1" applyFill="1" applyBorder="1" applyAlignment="1" applyProtection="1">
      <alignment horizontal="center" vertical="center" wrapText="1"/>
      <protection locked="0"/>
    </xf>
    <xf numFmtId="0" fontId="93" fillId="0" borderId="46" xfId="0" applyFont="1" applyBorder="1" applyAlignment="1">
      <alignment horizontal="center" vertical="center" wrapText="1"/>
    </xf>
    <xf numFmtId="0" fontId="93" fillId="0" borderId="23" xfId="0" applyFont="1" applyBorder="1" applyAlignment="1">
      <alignment vertical="center" wrapText="1"/>
    </xf>
    <xf numFmtId="0" fontId="94" fillId="5" borderId="0" xfId="0" applyFont="1" applyFill="1"/>
    <xf numFmtId="0" fontId="93" fillId="2" borderId="46" xfId="0" applyFont="1" applyFill="1" applyBorder="1" applyAlignment="1">
      <alignment horizontal="center" vertical="center"/>
    </xf>
    <xf numFmtId="0" fontId="93" fillId="2" borderId="46" xfId="0" applyFont="1" applyFill="1" applyBorder="1" applyAlignment="1">
      <alignment horizontal="center" vertical="center" wrapText="1"/>
    </xf>
    <xf numFmtId="0" fontId="94" fillId="0" borderId="0" xfId="0" applyFont="1"/>
    <xf numFmtId="0" fontId="93" fillId="5" borderId="46" xfId="0" applyFont="1" applyFill="1" applyBorder="1" applyAlignment="1">
      <alignment horizontal="center" vertical="center"/>
    </xf>
    <xf numFmtId="174" fontId="94" fillId="0" borderId="46" xfId="1737" applyNumberFormat="1" applyFont="1" applyFill="1" applyBorder="1" applyAlignment="1" applyProtection="1">
      <alignment horizontal="center" vertical="center"/>
      <protection locked="0"/>
    </xf>
    <xf numFmtId="174" fontId="94" fillId="0" borderId="46" xfId="0" applyNumberFormat="1" applyFont="1" applyBorder="1"/>
    <xf numFmtId="42" fontId="94" fillId="5" borderId="0" xfId="0" applyNumberFormat="1" applyFont="1" applyFill="1"/>
    <xf numFmtId="174" fontId="95" fillId="0" borderId="46" xfId="1737" applyNumberFormat="1" applyFont="1" applyFill="1" applyBorder="1" applyAlignment="1" applyProtection="1">
      <alignment horizontal="center" vertical="center"/>
      <protection locked="0"/>
    </xf>
    <xf numFmtId="174" fontId="94" fillId="0" borderId="46" xfId="0" applyNumberFormat="1" applyFont="1" applyBorder="1" applyAlignment="1">
      <alignment horizontal="center" vertical="center"/>
    </xf>
    <xf numFmtId="174" fontId="93" fillId="40" borderId="46" xfId="1737" applyNumberFormat="1" applyFont="1" applyFill="1" applyBorder="1" applyAlignment="1">
      <alignment horizontal="center" vertical="center" wrapText="1"/>
    </xf>
    <xf numFmtId="44" fontId="94" fillId="5" borderId="0" xfId="1737" applyFont="1" applyFill="1"/>
    <xf numFmtId="44" fontId="94" fillId="5" borderId="0" xfId="0" applyNumberFormat="1" applyFont="1" applyFill="1"/>
    <xf numFmtId="0" fontId="94" fillId="0" borderId="46" xfId="0" applyFont="1" applyBorder="1" applyAlignment="1">
      <alignment horizontal="center" vertical="center"/>
    </xf>
    <xf numFmtId="174" fontId="97" fillId="0" borderId="46" xfId="175" applyNumberFormat="1" applyFont="1" applyFill="1" applyBorder="1" applyAlignment="1">
      <alignment vertical="center"/>
    </xf>
    <xf numFmtId="174" fontId="94" fillId="0" borderId="46" xfId="4" applyNumberFormat="1" applyFont="1" applyFill="1" applyBorder="1" applyAlignment="1" applyProtection="1">
      <alignment horizontal="center" vertical="center"/>
      <protection locked="0"/>
    </xf>
    <xf numFmtId="0" fontId="94" fillId="5" borderId="46" xfId="0" applyFont="1" applyFill="1" applyBorder="1" applyAlignment="1">
      <alignment vertical="center"/>
    </xf>
    <xf numFmtId="174" fontId="98" fillId="5" borderId="0" xfId="0" applyNumberFormat="1" applyFont="1" applyFill="1"/>
    <xf numFmtId="0" fontId="94" fillId="5" borderId="46" xfId="0" applyFont="1" applyFill="1" applyBorder="1" applyAlignment="1">
      <alignment vertical="center" wrapText="1"/>
    </xf>
    <xf numFmtId="174" fontId="94" fillId="5" borderId="46" xfId="0" applyNumberFormat="1" applyFont="1" applyFill="1" applyBorder="1" applyAlignment="1">
      <alignment vertical="center"/>
    </xf>
    <xf numFmtId="0" fontId="94" fillId="5" borderId="46" xfId="0" applyFont="1" applyFill="1" applyBorder="1"/>
    <xf numFmtId="174" fontId="13" fillId="6" borderId="0" xfId="0" applyNumberFormat="1" applyFont="1" applyFill="1"/>
    <xf numFmtId="42" fontId="93" fillId="0" borderId="46" xfId="1735" applyFont="1" applyFill="1" applyBorder="1" applyAlignment="1" applyProtection="1">
      <alignment vertical="center" wrapText="1"/>
      <protection locked="0"/>
    </xf>
    <xf numFmtId="174" fontId="99" fillId="5" borderId="46" xfId="1737" applyNumberFormat="1" applyFont="1" applyFill="1" applyBorder="1" applyAlignment="1" applyProtection="1">
      <alignment horizontal="center" vertical="center"/>
      <protection locked="0"/>
    </xf>
    <xf numFmtId="42" fontId="99" fillId="5" borderId="46" xfId="0" applyNumberFormat="1" applyFont="1" applyFill="1" applyBorder="1"/>
    <xf numFmtId="174" fontId="99" fillId="5" borderId="46" xfId="0" applyNumberFormat="1" applyFont="1" applyFill="1" applyBorder="1"/>
    <xf numFmtId="0" fontId="96" fillId="37" borderId="0" xfId="0" applyFont="1" applyFill="1" applyAlignment="1">
      <alignment wrapText="1"/>
    </xf>
    <xf numFmtId="0" fontId="96" fillId="37" borderId="0" xfId="0" applyFont="1" applyFill="1" applyAlignment="1">
      <alignment horizontal="center" wrapText="1"/>
    </xf>
    <xf numFmtId="0" fontId="1" fillId="0" borderId="43" xfId="0" quotePrefix="1" applyFont="1" applyBorder="1" applyAlignment="1">
      <alignment horizontal="left" vertical="center" wrapText="1"/>
    </xf>
    <xf numFmtId="0" fontId="1" fillId="0" borderId="44" xfId="0" quotePrefix="1" applyFont="1" applyBorder="1" applyAlignment="1">
      <alignment horizontal="left" vertical="center" wrapText="1"/>
    </xf>
    <xf numFmtId="0" fontId="1" fillId="0" borderId="46" xfId="0" quotePrefix="1" applyFont="1" applyBorder="1" applyAlignment="1">
      <alignment horizontal="left" vertical="center" wrapText="1"/>
    </xf>
    <xf numFmtId="0" fontId="1" fillId="0" borderId="46" xfId="0" applyFont="1" applyBorder="1" applyAlignment="1">
      <alignment horizontal="left" vertical="center" wrapText="1"/>
    </xf>
    <xf numFmtId="0" fontId="39" fillId="0" borderId="43" xfId="0" quotePrefix="1" applyFont="1" applyBorder="1" applyAlignment="1">
      <alignment horizontal="left" vertical="center" wrapText="1"/>
    </xf>
    <xf numFmtId="0" fontId="45" fillId="5" borderId="0" xfId="0" applyFont="1" applyFill="1" applyAlignment="1">
      <alignment horizontal="center" vertical="center"/>
    </xf>
    <xf numFmtId="0" fontId="46" fillId="5" borderId="0" xfId="0" applyFont="1" applyFill="1" applyAlignment="1">
      <alignment horizontal="left" vertical="center"/>
    </xf>
    <xf numFmtId="0" fontId="47" fillId="5" borderId="0" xfId="0" applyFont="1" applyFill="1" applyAlignment="1">
      <alignment horizontal="left" vertical="top"/>
    </xf>
    <xf numFmtId="0" fontId="48" fillId="5" borderId="0" xfId="0" applyFont="1" applyFill="1" applyAlignment="1">
      <alignment horizontal="center" vertical="center"/>
    </xf>
    <xf numFmtId="0" fontId="46" fillId="5" borderId="0" xfId="0" quotePrefix="1" applyFont="1" applyFill="1" applyAlignment="1">
      <alignment horizontal="center" vertical="center" wrapText="1"/>
    </xf>
    <xf numFmtId="0" fontId="46" fillId="5" borderId="0" xfId="0" applyFont="1" applyFill="1" applyAlignment="1">
      <alignment horizontal="center" vertical="center" wrapText="1"/>
    </xf>
    <xf numFmtId="0" fontId="39" fillId="33" borderId="33" xfId="0" quotePrefix="1" applyFont="1" applyFill="1" applyBorder="1" applyAlignment="1">
      <alignment horizontal="center" vertical="center"/>
    </xf>
    <xf numFmtId="0" fontId="39" fillId="33" borderId="0" xfId="0" applyFont="1" applyFill="1" applyAlignment="1">
      <alignment horizontal="center" vertical="center"/>
    </xf>
    <xf numFmtId="0" fontId="52" fillId="5" borderId="41" xfId="0" quotePrefix="1" applyFont="1" applyFill="1" applyBorder="1" applyAlignment="1">
      <alignment horizontal="center" vertical="center" wrapText="1"/>
    </xf>
    <xf numFmtId="0" fontId="52" fillId="5" borderId="42" xfId="0" quotePrefix="1" applyFont="1" applyFill="1" applyBorder="1" applyAlignment="1">
      <alignment horizontal="center" vertical="center" wrapText="1"/>
    </xf>
    <xf numFmtId="0" fontId="52" fillId="5" borderId="7" xfId="0" quotePrefix="1" applyFont="1" applyFill="1" applyBorder="1" applyAlignment="1">
      <alignment horizontal="center" vertical="center" wrapText="1"/>
    </xf>
    <xf numFmtId="0" fontId="39" fillId="0" borderId="43" xfId="0" quotePrefix="1" applyFont="1" applyBorder="1" applyAlignment="1">
      <alignment horizontal="left" vertical="top" wrapText="1"/>
    </xf>
    <xf numFmtId="0" fontId="1" fillId="0" borderId="44" xfId="0" quotePrefix="1" applyFont="1" applyBorder="1" applyAlignment="1">
      <alignment horizontal="left" vertical="top" wrapText="1"/>
    </xf>
    <xf numFmtId="0" fontId="1" fillId="0" borderId="43" xfId="0" quotePrefix="1" applyFont="1" applyBorder="1" applyAlignment="1">
      <alignment horizontal="left" vertical="top" wrapText="1"/>
    </xf>
    <xf numFmtId="0" fontId="56" fillId="5" borderId="0" xfId="0" applyFont="1" applyFill="1" applyAlignment="1">
      <alignment horizontal="left" wrapText="1"/>
    </xf>
    <xf numFmtId="0" fontId="8" fillId="5" borderId="46" xfId="0" applyFont="1" applyFill="1" applyBorder="1" applyAlignment="1">
      <alignment horizontal="center" vertical="center"/>
    </xf>
    <xf numFmtId="0" fontId="8" fillId="5" borderId="43" xfId="0" applyFont="1" applyFill="1" applyBorder="1" applyAlignment="1">
      <alignment horizontal="center" vertical="center"/>
    </xf>
    <xf numFmtId="0" fontId="8" fillId="5" borderId="47" xfId="0" applyFont="1" applyFill="1" applyBorder="1" applyAlignment="1">
      <alignment horizontal="center" vertical="center"/>
    </xf>
    <xf numFmtId="0" fontId="8" fillId="5" borderId="44" xfId="0" applyFont="1" applyFill="1" applyBorder="1" applyAlignment="1">
      <alignment horizontal="center" vertical="center"/>
    </xf>
    <xf numFmtId="42" fontId="6" fillId="0" borderId="43" xfId="1735" applyFont="1" applyFill="1" applyBorder="1" applyAlignment="1">
      <alignment horizontal="center" vertical="center"/>
    </xf>
    <xf numFmtId="42" fontId="6" fillId="0" borderId="47" xfId="1735" applyFont="1" applyFill="1" applyBorder="1" applyAlignment="1">
      <alignment horizontal="center" vertical="center"/>
    </xf>
    <xf numFmtId="42" fontId="6" fillId="0" borderId="44" xfId="1735" applyFont="1" applyFill="1" applyBorder="1" applyAlignment="1">
      <alignment horizontal="center" vertical="center"/>
    </xf>
    <xf numFmtId="174" fontId="38" fillId="8" borderId="83" xfId="1737" applyNumberFormat="1" applyFont="1" applyFill="1" applyBorder="1" applyAlignment="1">
      <alignment horizontal="center" vertical="center"/>
    </xf>
    <xf numFmtId="0" fontId="50" fillId="5" borderId="0" xfId="0" applyFont="1" applyFill="1" applyAlignment="1">
      <alignment horizontal="center" vertical="center" wrapText="1"/>
    </xf>
    <xf numFmtId="0" fontId="54" fillId="5" borderId="0" xfId="0" applyFont="1" applyFill="1" applyAlignment="1">
      <alignment horizontal="left" wrapText="1"/>
    </xf>
    <xf numFmtId="0" fontId="8" fillId="5" borderId="0" xfId="0" applyFont="1" applyFill="1" applyAlignment="1">
      <alignment horizontal="center" vertical="center" wrapText="1"/>
    </xf>
    <xf numFmtId="0" fontId="17" fillId="3" borderId="25" xfId="0" applyFont="1" applyFill="1" applyBorder="1" applyAlignment="1">
      <alignment horizontal="left" vertical="center"/>
    </xf>
    <xf numFmtId="0" fontId="17" fillId="3" borderId="29" xfId="0" applyFont="1" applyFill="1" applyBorder="1" applyAlignment="1">
      <alignment horizontal="left" vertical="center"/>
    </xf>
    <xf numFmtId="0" fontId="17" fillId="3" borderId="26" xfId="0" applyFont="1" applyFill="1" applyBorder="1" applyAlignment="1">
      <alignment horizontal="left" vertical="center"/>
    </xf>
    <xf numFmtId="0" fontId="46" fillId="5" borderId="0" xfId="0" applyFont="1" applyFill="1" applyAlignment="1">
      <alignment horizontal="center" vertical="center"/>
    </xf>
    <xf numFmtId="0" fontId="46" fillId="5" borderId="0" xfId="0" applyFont="1" applyFill="1" applyAlignment="1">
      <alignment horizontal="center" vertical="top"/>
    </xf>
    <xf numFmtId="0" fontId="6" fillId="0" borderId="25" xfId="0" applyFont="1" applyBorder="1" applyAlignment="1">
      <alignment horizontal="left" vertical="center"/>
    </xf>
    <xf numFmtId="0" fontId="6" fillId="0" borderId="29" xfId="0" applyFont="1" applyBorder="1" applyAlignment="1">
      <alignment horizontal="left" vertical="center"/>
    </xf>
    <xf numFmtId="0" fontId="6" fillId="0" borderId="26" xfId="0" applyFont="1" applyBorder="1" applyAlignment="1">
      <alignment horizontal="left" vertical="center"/>
    </xf>
    <xf numFmtId="42" fontId="11" fillId="0" borderId="25" xfId="1735" applyFont="1" applyFill="1" applyBorder="1" applyAlignment="1">
      <alignment horizontal="center" vertical="center"/>
    </xf>
    <xf numFmtId="42" fontId="11" fillId="0" borderId="29" xfId="1735" applyFont="1" applyFill="1" applyBorder="1" applyAlignment="1">
      <alignment horizontal="center" vertical="center"/>
    </xf>
    <xf numFmtId="42" fontId="11" fillId="0" borderId="26" xfId="1735" applyFont="1" applyFill="1" applyBorder="1" applyAlignment="1">
      <alignment horizontal="center" vertical="center"/>
    </xf>
    <xf numFmtId="0" fontId="17" fillId="3" borderId="30" xfId="0" applyFont="1" applyFill="1" applyBorder="1" applyAlignment="1">
      <alignment horizontal="left" vertical="center"/>
    </xf>
    <xf numFmtId="0" fontId="17" fillId="3" borderId="31" xfId="0" applyFont="1" applyFill="1" applyBorder="1" applyAlignment="1">
      <alignment horizontal="left" vertical="center"/>
    </xf>
    <xf numFmtId="0" fontId="17" fillId="3" borderId="32" xfId="0" applyFont="1" applyFill="1" applyBorder="1" applyAlignment="1">
      <alignment horizontal="left" vertical="center"/>
    </xf>
    <xf numFmtId="0" fontId="0" fillId="5" borderId="0" xfId="0" applyFill="1" applyAlignment="1">
      <alignment horizontal="center"/>
    </xf>
    <xf numFmtId="172" fontId="43" fillId="5" borderId="2" xfId="0" applyNumberFormat="1" applyFont="1" applyFill="1" applyBorder="1" applyAlignment="1">
      <alignment horizontal="center" vertical="center"/>
    </xf>
    <xf numFmtId="0" fontId="20" fillId="0" borderId="0" xfId="0" applyFont="1" applyAlignment="1">
      <alignment horizontal="left" vertical="center" wrapText="1"/>
    </xf>
    <xf numFmtId="42" fontId="42" fillId="8" borderId="27" xfId="1735" applyFont="1" applyFill="1" applyBorder="1" applyAlignment="1">
      <alignment horizontal="center" vertical="center"/>
    </xf>
    <xf numFmtId="171" fontId="13" fillId="5" borderId="24" xfId="1734" applyNumberFormat="1" applyFont="1" applyFill="1" applyBorder="1" applyAlignment="1">
      <alignment horizontal="center" vertical="center"/>
    </xf>
    <xf numFmtId="0" fontId="17" fillId="3" borderId="46" xfId="0" applyFont="1" applyFill="1" applyBorder="1" applyAlignment="1">
      <alignment horizontal="left" vertical="center"/>
    </xf>
    <xf numFmtId="0" fontId="6" fillId="0" borderId="39" xfId="0" applyFont="1" applyBorder="1" applyAlignment="1">
      <alignment horizontal="left" vertical="center"/>
    </xf>
    <xf numFmtId="0" fontId="6" fillId="0" borderId="40" xfId="0" applyFont="1" applyBorder="1" applyAlignment="1">
      <alignment horizontal="left" vertical="center"/>
    </xf>
    <xf numFmtId="164" fontId="55" fillId="0" borderId="35" xfId="1735" applyNumberFormat="1" applyFont="1" applyFill="1" applyBorder="1" applyAlignment="1">
      <alignment horizontal="center" vertical="center"/>
    </xf>
    <xf numFmtId="42" fontId="55" fillId="0" borderId="37" xfId="1735" applyFont="1" applyFill="1" applyBorder="1" applyAlignment="1">
      <alignment horizontal="center" vertical="center"/>
    </xf>
    <xf numFmtId="42" fontId="55" fillId="0" borderId="36" xfId="1735" applyFont="1" applyFill="1" applyBorder="1" applyAlignment="1">
      <alignment horizontal="center" vertical="center"/>
    </xf>
    <xf numFmtId="0" fontId="79" fillId="37" borderId="70" xfId="0" applyFont="1" applyFill="1" applyBorder="1" applyAlignment="1">
      <alignment horizontal="center" vertical="center" wrapText="1"/>
    </xf>
    <xf numFmtId="0" fontId="79" fillId="37" borderId="47" xfId="0" applyFont="1" applyFill="1" applyBorder="1" applyAlignment="1">
      <alignment horizontal="center" vertical="center" wrapText="1"/>
    </xf>
    <xf numFmtId="0" fontId="79" fillId="37" borderId="67" xfId="0" applyFont="1" applyFill="1" applyBorder="1" applyAlignment="1">
      <alignment horizontal="center" vertical="center" wrapText="1"/>
    </xf>
    <xf numFmtId="0" fontId="79" fillId="51" borderId="68" xfId="0" applyFont="1" applyFill="1" applyBorder="1" applyAlignment="1">
      <alignment horizontal="center" vertical="center" wrapText="1"/>
    </xf>
    <xf numFmtId="0" fontId="79" fillId="51" borderId="69" xfId="0" applyFont="1" applyFill="1" applyBorder="1" applyAlignment="1">
      <alignment horizontal="center" vertical="center" wrapText="1"/>
    </xf>
    <xf numFmtId="0" fontId="79" fillId="51" borderId="63" xfId="0" applyFont="1" applyFill="1" applyBorder="1" applyAlignment="1">
      <alignment horizontal="center" vertical="center" wrapText="1"/>
    </xf>
    <xf numFmtId="0" fontId="78" fillId="5" borderId="43" xfId="0" applyFont="1" applyFill="1" applyBorder="1" applyAlignment="1">
      <alignment horizontal="center" vertical="center" wrapText="1"/>
    </xf>
    <xf numFmtId="0" fontId="78" fillId="5" borderId="47" xfId="0" applyFont="1" applyFill="1" applyBorder="1" applyAlignment="1">
      <alignment horizontal="center" vertical="center" wrapText="1"/>
    </xf>
    <xf numFmtId="0" fontId="78" fillId="5" borderId="67" xfId="0" applyFont="1" applyFill="1" applyBorder="1" applyAlignment="1">
      <alignment horizontal="center" vertical="center" wrapText="1"/>
    </xf>
    <xf numFmtId="0" fontId="79" fillId="51" borderId="65" xfId="0" applyFont="1" applyFill="1" applyBorder="1" applyAlignment="1">
      <alignment horizontal="center" vertical="center"/>
    </xf>
    <xf numFmtId="0" fontId="79" fillId="51" borderId="0" xfId="0" applyFont="1" applyFill="1" applyAlignment="1">
      <alignment horizontal="center" vertical="center"/>
    </xf>
    <xf numFmtId="0" fontId="79" fillId="51" borderId="64" xfId="0" applyFont="1" applyFill="1" applyBorder="1" applyAlignment="1">
      <alignment horizontal="center" vertical="center"/>
    </xf>
    <xf numFmtId="0" fontId="80" fillId="52" borderId="65" xfId="0" applyFont="1" applyFill="1" applyBorder="1" applyAlignment="1">
      <alignment horizontal="center"/>
    </xf>
    <xf numFmtId="0" fontId="80" fillId="52" borderId="0" xfId="0" applyFont="1" applyFill="1" applyAlignment="1">
      <alignment horizontal="center"/>
    </xf>
    <xf numFmtId="0" fontId="80" fillId="52" borderId="64" xfId="0" applyFont="1" applyFill="1" applyBorder="1" applyAlignment="1">
      <alignment horizontal="center"/>
    </xf>
    <xf numFmtId="0" fontId="17" fillId="3" borderId="30" xfId="0" applyFont="1" applyFill="1" applyBorder="1" applyAlignment="1">
      <alignment horizontal="center" vertical="center"/>
    </xf>
    <xf numFmtId="0" fontId="17" fillId="3" borderId="31" xfId="0" applyFont="1" applyFill="1" applyBorder="1" applyAlignment="1">
      <alignment horizontal="center" vertical="center"/>
    </xf>
    <xf numFmtId="0" fontId="8" fillId="5" borderId="0" xfId="0" applyFont="1" applyFill="1" applyAlignment="1">
      <alignment horizontal="center" vertical="center"/>
    </xf>
    <xf numFmtId="42" fontId="6" fillId="5" borderId="0" xfId="1735" applyFont="1" applyFill="1" applyBorder="1" applyAlignment="1">
      <alignment horizontal="center" vertical="center"/>
    </xf>
    <xf numFmtId="0" fontId="6" fillId="0" borderId="46" xfId="0" applyFont="1" applyBorder="1" applyAlignment="1">
      <alignment horizontal="left" vertical="center" wrapText="1"/>
    </xf>
    <xf numFmtId="0" fontId="4" fillId="2" borderId="46" xfId="0" applyFont="1" applyFill="1" applyBorder="1" applyAlignment="1">
      <alignment horizontal="center" vertical="center"/>
    </xf>
    <xf numFmtId="0" fontId="60" fillId="7" borderId="51" xfId="0" applyFont="1" applyFill="1" applyBorder="1" applyAlignment="1">
      <alignment horizontal="center" vertical="center" wrapText="1"/>
    </xf>
    <xf numFmtId="0" fontId="60" fillId="7" borderId="0" xfId="0" applyFont="1" applyFill="1" applyAlignment="1">
      <alignment horizontal="center" vertical="center" wrapText="1"/>
    </xf>
    <xf numFmtId="174" fontId="5" fillId="44" borderId="46" xfId="0" applyNumberFormat="1" applyFont="1" applyFill="1" applyBorder="1" applyAlignment="1">
      <alignment horizontal="center" vertical="center"/>
    </xf>
    <xf numFmtId="0" fontId="61" fillId="43" borderId="43" xfId="0" applyFont="1" applyFill="1" applyBorder="1" applyAlignment="1">
      <alignment horizontal="left" vertical="center" wrapText="1"/>
    </xf>
    <xf numFmtId="0" fontId="61" fillId="43" borderId="47" xfId="0" applyFont="1" applyFill="1" applyBorder="1" applyAlignment="1">
      <alignment horizontal="left" vertical="center" wrapText="1"/>
    </xf>
    <xf numFmtId="0" fontId="61" fillId="43" borderId="44" xfId="0" applyFont="1" applyFill="1" applyBorder="1" applyAlignment="1">
      <alignment horizontal="left" vertical="center" wrapText="1"/>
    </xf>
    <xf numFmtId="0" fontId="17" fillId="37" borderId="46" xfId="0" applyFont="1" applyFill="1" applyBorder="1" applyAlignment="1">
      <alignment horizontal="center" vertical="center" wrapText="1"/>
    </xf>
    <xf numFmtId="175" fontId="17" fillId="37" borderId="46" xfId="11" applyNumberFormat="1" applyFont="1" applyFill="1" applyBorder="1" applyAlignment="1">
      <alignment horizontal="center" vertical="center" wrapText="1"/>
    </xf>
    <xf numFmtId="0" fontId="60" fillId="38" borderId="46" xfId="0" applyFont="1" applyFill="1" applyBorder="1" applyAlignment="1">
      <alignment horizontal="center" vertical="center" wrapText="1"/>
    </xf>
    <xf numFmtId="0" fontId="60" fillId="39" borderId="46" xfId="0" applyFont="1" applyFill="1" applyBorder="1" applyAlignment="1">
      <alignment horizontal="center" vertical="center" wrapText="1"/>
    </xf>
    <xf numFmtId="0" fontId="66" fillId="2" borderId="46" xfId="0" applyFont="1" applyFill="1" applyBorder="1" applyAlignment="1">
      <alignment horizontal="left" vertical="center" wrapText="1"/>
    </xf>
    <xf numFmtId="174" fontId="20" fillId="0" borderId="46" xfId="1737" applyNumberFormat="1" applyFont="1" applyFill="1" applyBorder="1" applyAlignment="1">
      <alignment horizontal="center" vertical="center"/>
    </xf>
    <xf numFmtId="0" fontId="60" fillId="40" borderId="46" xfId="0" applyFont="1" applyFill="1" applyBorder="1" applyAlignment="1">
      <alignment horizontal="center" vertical="center" wrapText="1"/>
    </xf>
    <xf numFmtId="0" fontId="60" fillId="7" borderId="46" xfId="0" applyFont="1" applyFill="1" applyBorder="1" applyAlignment="1">
      <alignment horizontal="center" vertical="center" wrapText="1"/>
    </xf>
    <xf numFmtId="0" fontId="17" fillId="41" borderId="35" xfId="0" applyFont="1" applyFill="1" applyBorder="1" applyAlignment="1">
      <alignment horizontal="center" vertical="center" wrapText="1"/>
    </xf>
    <xf numFmtId="0" fontId="17" fillId="41" borderId="37" xfId="0" applyFont="1" applyFill="1" applyBorder="1" applyAlignment="1">
      <alignment horizontal="center" vertical="center" wrapText="1"/>
    </xf>
    <xf numFmtId="0" fontId="60" fillId="47" borderId="43" xfId="0" applyFont="1" applyFill="1" applyBorder="1" applyAlignment="1">
      <alignment horizontal="center"/>
    </xf>
    <xf numFmtId="0" fontId="60" fillId="47" borderId="47" xfId="0" applyFont="1" applyFill="1" applyBorder="1" applyAlignment="1">
      <alignment horizontal="center"/>
    </xf>
    <xf numFmtId="0" fontId="60" fillId="47" borderId="44" xfId="0" applyFont="1" applyFill="1" applyBorder="1" applyAlignment="1">
      <alignment horizontal="center"/>
    </xf>
    <xf numFmtId="0" fontId="60" fillId="2" borderId="46" xfId="0" applyFont="1" applyFill="1" applyBorder="1" applyAlignment="1">
      <alignment horizontal="center" vertical="center"/>
    </xf>
    <xf numFmtId="0" fontId="17" fillId="3" borderId="46" xfId="0" applyFont="1" applyFill="1" applyBorder="1" applyAlignment="1">
      <alignment horizontal="center" vertical="center"/>
    </xf>
    <xf numFmtId="0" fontId="73" fillId="49" borderId="68" xfId="0" applyFont="1" applyFill="1" applyBorder="1" applyAlignment="1">
      <alignment horizontal="center" vertical="center"/>
    </xf>
    <xf numFmtId="0" fontId="73" fillId="49" borderId="65" xfId="0" applyFont="1" applyFill="1" applyBorder="1" applyAlignment="1">
      <alignment horizontal="center" vertical="center"/>
    </xf>
    <xf numFmtId="0" fontId="0" fillId="0" borderId="46" xfId="0" applyBorder="1" applyAlignment="1">
      <alignment horizontal="center" vertical="center"/>
    </xf>
    <xf numFmtId="10" fontId="70" fillId="0" borderId="41" xfId="0" applyNumberFormat="1" applyFont="1" applyBorder="1" applyAlignment="1">
      <alignment horizontal="center" vertical="center"/>
    </xf>
    <xf numFmtId="10" fontId="70" fillId="0" borderId="42" xfId="0" applyNumberFormat="1" applyFont="1" applyBorder="1" applyAlignment="1">
      <alignment horizontal="center" vertical="center"/>
    </xf>
    <xf numFmtId="10" fontId="70" fillId="0" borderId="7" xfId="0" applyNumberFormat="1" applyFont="1" applyBorder="1" applyAlignment="1">
      <alignment horizontal="center" vertical="center"/>
    </xf>
    <xf numFmtId="6" fontId="71" fillId="0" borderId="46" xfId="0" applyNumberFormat="1" applyFont="1" applyBorder="1" applyAlignment="1">
      <alignment horizontal="center" vertical="center"/>
    </xf>
    <xf numFmtId="6" fontId="72" fillId="49" borderId="41" xfId="0" applyNumberFormat="1" applyFont="1" applyFill="1" applyBorder="1" applyAlignment="1">
      <alignment horizontal="center" vertical="center"/>
    </xf>
    <xf numFmtId="6" fontId="72" fillId="49" borderId="42" xfId="0" applyNumberFormat="1" applyFont="1" applyFill="1" applyBorder="1" applyAlignment="1">
      <alignment horizontal="center" vertical="center"/>
    </xf>
    <xf numFmtId="6" fontId="72" fillId="49" borderId="7" xfId="0" applyNumberFormat="1" applyFont="1" applyFill="1" applyBorder="1" applyAlignment="1">
      <alignment horizontal="center" vertical="center"/>
    </xf>
    <xf numFmtId="0" fontId="91" fillId="0" borderId="46" xfId="0" applyFont="1" applyBorder="1" applyAlignment="1">
      <alignment horizontal="center" vertical="center" wrapText="1"/>
    </xf>
    <xf numFmtId="0" fontId="82" fillId="5" borderId="46" xfId="0" applyFont="1" applyFill="1" applyBorder="1" applyAlignment="1">
      <alignment horizontal="center" vertical="center" wrapText="1"/>
    </xf>
    <xf numFmtId="6" fontId="82" fillId="5" borderId="41" xfId="0" applyNumberFormat="1" applyFont="1" applyFill="1" applyBorder="1" applyAlignment="1">
      <alignment horizontal="center" vertical="center" wrapText="1"/>
    </xf>
    <xf numFmtId="6" fontId="82" fillId="5" borderId="7" xfId="0" applyNumberFormat="1" applyFont="1" applyFill="1" applyBorder="1" applyAlignment="1">
      <alignment horizontal="center" vertical="center" wrapText="1"/>
    </xf>
    <xf numFmtId="6" fontId="82" fillId="5" borderId="46" xfId="0" applyNumberFormat="1" applyFont="1" applyFill="1" applyBorder="1" applyAlignment="1">
      <alignment horizontal="center" vertical="center" wrapText="1"/>
    </xf>
    <xf numFmtId="0" fontId="83" fillId="55" borderId="33" xfId="0" applyFont="1" applyFill="1" applyBorder="1" applyAlignment="1">
      <alignment horizontal="center" vertical="center" wrapText="1"/>
    </xf>
    <xf numFmtId="0" fontId="83" fillId="55" borderId="34" xfId="0" applyFont="1" applyFill="1" applyBorder="1" applyAlignment="1">
      <alignment horizontal="center" vertical="center" wrapText="1"/>
    </xf>
    <xf numFmtId="0" fontId="83" fillId="54" borderId="46" xfId="0" applyFont="1" applyFill="1" applyBorder="1" applyAlignment="1">
      <alignment horizontal="center" vertical="center" wrapText="1"/>
    </xf>
    <xf numFmtId="0" fontId="83" fillId="54" borderId="33" xfId="0" applyFont="1" applyFill="1" applyBorder="1" applyAlignment="1">
      <alignment horizontal="center" vertical="center" wrapText="1"/>
    </xf>
    <xf numFmtId="0" fontId="83" fillId="54" borderId="0" xfId="0" applyFont="1" applyFill="1" applyAlignment="1">
      <alignment horizontal="center" vertical="center" wrapText="1"/>
    </xf>
    <xf numFmtId="0" fontId="83" fillId="55" borderId="73" xfId="0" applyFont="1" applyFill="1" applyBorder="1" applyAlignment="1">
      <alignment horizontal="center" vertical="center" wrapText="1"/>
    </xf>
    <xf numFmtId="174" fontId="82" fillId="5" borderId="46" xfId="0" applyNumberFormat="1" applyFont="1" applyFill="1" applyBorder="1" applyAlignment="1">
      <alignment horizontal="center" vertical="center"/>
    </xf>
    <xf numFmtId="0" fontId="85" fillId="56" borderId="46" xfId="0" applyFont="1" applyFill="1" applyBorder="1" applyAlignment="1">
      <alignment horizontal="center" vertical="center"/>
    </xf>
    <xf numFmtId="0" fontId="83" fillId="5" borderId="46" xfId="0" applyFont="1" applyFill="1" applyBorder="1" applyAlignment="1">
      <alignment horizontal="center" vertical="center" wrapText="1"/>
    </xf>
    <xf numFmtId="0" fontId="83" fillId="5" borderId="43" xfId="0" applyFont="1" applyFill="1" applyBorder="1" applyAlignment="1">
      <alignment horizontal="center" vertical="center" wrapText="1"/>
    </xf>
    <xf numFmtId="0" fontId="83" fillId="5" borderId="47" xfId="0" applyFont="1" applyFill="1" applyBorder="1" applyAlignment="1">
      <alignment horizontal="center" vertical="center" wrapText="1"/>
    </xf>
    <xf numFmtId="0" fontId="83" fillId="5" borderId="44" xfId="0" applyFont="1" applyFill="1" applyBorder="1" applyAlignment="1">
      <alignment horizontal="center" vertical="center" wrapText="1"/>
    </xf>
    <xf numFmtId="0" fontId="84" fillId="55" borderId="46" xfId="0" applyFont="1" applyFill="1" applyBorder="1" applyAlignment="1">
      <alignment horizontal="center" vertical="center" wrapText="1"/>
    </xf>
    <xf numFmtId="0" fontId="85" fillId="56" borderId="41" xfId="0" applyFont="1" applyFill="1" applyBorder="1" applyAlignment="1">
      <alignment horizontal="center" vertical="center" wrapText="1"/>
    </xf>
    <xf numFmtId="0" fontId="85" fillId="56" borderId="7" xfId="0" applyFont="1" applyFill="1" applyBorder="1" applyAlignment="1">
      <alignment horizontal="center" vertical="center" wrapText="1"/>
    </xf>
    <xf numFmtId="0" fontId="85" fillId="57" borderId="41" xfId="0" applyFont="1" applyFill="1" applyBorder="1" applyAlignment="1">
      <alignment horizontal="center" vertical="center" wrapText="1"/>
    </xf>
    <xf numFmtId="0" fontId="85" fillId="57" borderId="7" xfId="0" applyFont="1" applyFill="1" applyBorder="1" applyAlignment="1">
      <alignment horizontal="center" vertical="center" wrapText="1"/>
    </xf>
    <xf numFmtId="0" fontId="85" fillId="56" borderId="41" xfId="0" applyFont="1" applyFill="1" applyBorder="1" applyAlignment="1">
      <alignment horizontal="center" vertical="center"/>
    </xf>
    <xf numFmtId="0" fontId="85" fillId="56" borderId="7" xfId="0" applyFont="1" applyFill="1" applyBorder="1" applyAlignment="1">
      <alignment horizontal="center" vertical="center"/>
    </xf>
    <xf numFmtId="0" fontId="84" fillId="5" borderId="46" xfId="0" applyFont="1" applyFill="1" applyBorder="1" applyAlignment="1">
      <alignment horizontal="center" vertical="center" wrapText="1"/>
    </xf>
    <xf numFmtId="0" fontId="84" fillId="36" borderId="46" xfId="0" applyFont="1" applyFill="1" applyBorder="1" applyAlignment="1">
      <alignment horizontal="center" vertical="center" wrapText="1"/>
    </xf>
    <xf numFmtId="0" fontId="83" fillId="0" borderId="46" xfId="0" applyFont="1" applyBorder="1" applyAlignment="1">
      <alignment horizontal="center" vertical="center"/>
    </xf>
    <xf numFmtId="0" fontId="83" fillId="55" borderId="46" xfId="0" applyFont="1" applyFill="1" applyBorder="1" applyAlignment="1">
      <alignment horizontal="center" vertical="center"/>
    </xf>
    <xf numFmtId="0" fontId="83" fillId="55" borderId="46" xfId="0" applyFont="1" applyFill="1" applyBorder="1" applyAlignment="1">
      <alignment horizontal="center" vertical="center" wrapText="1"/>
    </xf>
    <xf numFmtId="0" fontId="91" fillId="55" borderId="46" xfId="0" applyFont="1" applyFill="1" applyBorder="1" applyAlignment="1">
      <alignment horizontal="center" vertical="center" wrapText="1"/>
    </xf>
    <xf numFmtId="0" fontId="91" fillId="55" borderId="41" xfId="0" applyFont="1" applyFill="1" applyBorder="1" applyAlignment="1">
      <alignment horizontal="center" vertical="center" wrapText="1"/>
    </xf>
    <xf numFmtId="174" fontId="82" fillId="0" borderId="46" xfId="0" applyNumberFormat="1" applyFont="1" applyBorder="1" applyAlignment="1">
      <alignment horizontal="center"/>
    </xf>
    <xf numFmtId="174" fontId="83" fillId="47" borderId="46" xfId="1737" applyNumberFormat="1" applyFont="1" applyFill="1" applyBorder="1" applyAlignment="1">
      <alignment horizontal="center" vertical="center"/>
    </xf>
    <xf numFmtId="0" fontId="84" fillId="54" borderId="46" xfId="0" applyFont="1" applyFill="1" applyBorder="1" applyAlignment="1">
      <alignment horizontal="center" vertical="center" wrapText="1"/>
    </xf>
    <xf numFmtId="0" fontId="85" fillId="40" borderId="46" xfId="0" applyFont="1" applyFill="1" applyBorder="1" applyAlignment="1">
      <alignment horizontal="center" vertical="center" wrapText="1"/>
    </xf>
    <xf numFmtId="0" fontId="4" fillId="36" borderId="82" xfId="0" applyFont="1" applyFill="1" applyBorder="1" applyAlignment="1">
      <alignment horizontal="center" vertical="center"/>
    </xf>
    <xf numFmtId="0" fontId="4" fillId="36" borderId="78" xfId="0" applyFont="1" applyFill="1" applyBorder="1" applyAlignment="1">
      <alignment horizontal="center" vertical="center"/>
    </xf>
    <xf numFmtId="0" fontId="4" fillId="36" borderId="79" xfId="0" applyFont="1" applyFill="1" applyBorder="1" applyAlignment="1">
      <alignment horizontal="center" vertical="center"/>
    </xf>
    <xf numFmtId="0" fontId="4" fillId="0" borderId="80" xfId="0" applyFont="1" applyBorder="1" applyAlignment="1">
      <alignment horizontal="center" vertical="center"/>
    </xf>
    <xf numFmtId="0" fontId="4" fillId="0" borderId="77" xfId="0" applyFont="1" applyBorder="1" applyAlignment="1">
      <alignment horizontal="center" vertical="center"/>
    </xf>
    <xf numFmtId="0" fontId="18" fillId="0" borderId="46" xfId="0" applyFont="1" applyBorder="1" applyAlignment="1">
      <alignment horizontal="center" vertical="center" wrapText="1"/>
    </xf>
    <xf numFmtId="0" fontId="13" fillId="5" borderId="0" xfId="0" applyFont="1" applyFill="1" applyAlignment="1">
      <alignment horizontal="center" wrapText="1"/>
    </xf>
    <xf numFmtId="0" fontId="18" fillId="0" borderId="41" xfId="0" applyFont="1" applyBorder="1" applyAlignment="1">
      <alignment horizontal="center" vertical="center"/>
    </xf>
    <xf numFmtId="0" fontId="18" fillId="0" borderId="7" xfId="0" applyFont="1" applyBorder="1" applyAlignment="1">
      <alignment horizontal="center" vertical="center"/>
    </xf>
    <xf numFmtId="0" fontId="14" fillId="5" borderId="3"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14" fillId="5" borderId="5" xfId="0" applyFont="1" applyFill="1" applyBorder="1" applyAlignment="1">
      <alignment horizontal="center" vertical="center" wrapText="1"/>
    </xf>
  </cellXfs>
  <cellStyles count="1739">
    <cellStyle name="20% - Accent1" xfId="14" xr:uid="{00000000-0005-0000-0000-000000000000}"/>
    <cellStyle name="20% - Accent2" xfId="15" xr:uid="{00000000-0005-0000-0000-000001000000}"/>
    <cellStyle name="20% - Accent3" xfId="16" xr:uid="{00000000-0005-0000-0000-000002000000}"/>
    <cellStyle name="20% - Accent4" xfId="17" xr:uid="{00000000-0005-0000-0000-000003000000}"/>
    <cellStyle name="20% - Accent5" xfId="18" xr:uid="{00000000-0005-0000-0000-000004000000}"/>
    <cellStyle name="20% - Accent6" xfId="19" xr:uid="{00000000-0005-0000-0000-000005000000}"/>
    <cellStyle name="40% - Accent1" xfId="20" xr:uid="{00000000-0005-0000-0000-000006000000}"/>
    <cellStyle name="40% - Accent2" xfId="21" xr:uid="{00000000-0005-0000-0000-000007000000}"/>
    <cellStyle name="40% - Accent3" xfId="22" xr:uid="{00000000-0005-0000-0000-000008000000}"/>
    <cellStyle name="40% - Accent4" xfId="23" xr:uid="{00000000-0005-0000-0000-000009000000}"/>
    <cellStyle name="40% - Accent5" xfId="24" xr:uid="{00000000-0005-0000-0000-00000A000000}"/>
    <cellStyle name="40% - Accent6" xfId="25" xr:uid="{00000000-0005-0000-0000-00000B000000}"/>
    <cellStyle name="60% - Accent1" xfId="26" xr:uid="{00000000-0005-0000-0000-00000C000000}"/>
    <cellStyle name="60% - Accent2" xfId="27" xr:uid="{00000000-0005-0000-0000-00000D000000}"/>
    <cellStyle name="60% - Accent3" xfId="28" xr:uid="{00000000-0005-0000-0000-00000E000000}"/>
    <cellStyle name="60% - Accent4" xfId="29" xr:uid="{00000000-0005-0000-0000-00000F000000}"/>
    <cellStyle name="60% - Accent5" xfId="30" xr:uid="{00000000-0005-0000-0000-000010000000}"/>
    <cellStyle name="60% - Accent6" xfId="31" xr:uid="{00000000-0005-0000-0000-000011000000}"/>
    <cellStyle name="Accent1" xfId="32" xr:uid="{00000000-0005-0000-0000-000012000000}"/>
    <cellStyle name="Accent2" xfId="33" xr:uid="{00000000-0005-0000-0000-000013000000}"/>
    <cellStyle name="Accent3" xfId="34" xr:uid="{00000000-0005-0000-0000-000014000000}"/>
    <cellStyle name="Accent4" xfId="35" xr:uid="{00000000-0005-0000-0000-000015000000}"/>
    <cellStyle name="Accent5" xfId="36" xr:uid="{00000000-0005-0000-0000-000016000000}"/>
    <cellStyle name="Accent6" xfId="37" xr:uid="{00000000-0005-0000-0000-000017000000}"/>
    <cellStyle name="Bad" xfId="38" xr:uid="{00000000-0005-0000-0000-000018000000}"/>
    <cellStyle name="Calculation" xfId="39" xr:uid="{00000000-0005-0000-0000-000019000000}"/>
    <cellStyle name="Calculation 10" xfId="179" xr:uid="{00000000-0005-0000-0000-00001A000000}"/>
    <cellStyle name="Calculation 10 2" xfId="436" xr:uid="{00000000-0005-0000-0000-00001B000000}"/>
    <cellStyle name="Calculation 10 2 2" xfId="834" xr:uid="{00000000-0005-0000-0000-00001C000000}"/>
    <cellStyle name="Calculation 10 2 2 2" xfId="1661" xr:uid="{00000000-0005-0000-0000-00001D000000}"/>
    <cellStyle name="Calculation 10 2 3" xfId="1263" xr:uid="{00000000-0005-0000-0000-00001E000000}"/>
    <cellStyle name="Calculation 10 3" xfId="322" xr:uid="{00000000-0005-0000-0000-00001F000000}"/>
    <cellStyle name="Calculation 10 3 2" xfId="720" xr:uid="{00000000-0005-0000-0000-000020000000}"/>
    <cellStyle name="Calculation 10 3 2 2" xfId="1547" xr:uid="{00000000-0005-0000-0000-000021000000}"/>
    <cellStyle name="Calculation 10 3 3" xfId="1149" xr:uid="{00000000-0005-0000-0000-000022000000}"/>
    <cellStyle name="Calculation 10 4" xfId="578" xr:uid="{00000000-0005-0000-0000-000023000000}"/>
    <cellStyle name="Calculation 10 4 2" xfId="1405" xr:uid="{00000000-0005-0000-0000-000024000000}"/>
    <cellStyle name="Calculation 10 5" xfId="1007" xr:uid="{00000000-0005-0000-0000-000025000000}"/>
    <cellStyle name="Calculation 11" xfId="180" xr:uid="{00000000-0005-0000-0000-000026000000}"/>
    <cellStyle name="Calculation 11 2" xfId="437" xr:uid="{00000000-0005-0000-0000-000027000000}"/>
    <cellStyle name="Calculation 11 2 2" xfId="835" xr:uid="{00000000-0005-0000-0000-000028000000}"/>
    <cellStyle name="Calculation 11 2 2 2" xfId="1662" xr:uid="{00000000-0005-0000-0000-000029000000}"/>
    <cellStyle name="Calculation 11 2 3" xfId="1264" xr:uid="{00000000-0005-0000-0000-00002A000000}"/>
    <cellStyle name="Calculation 11 3" xfId="323" xr:uid="{00000000-0005-0000-0000-00002B000000}"/>
    <cellStyle name="Calculation 11 3 2" xfId="721" xr:uid="{00000000-0005-0000-0000-00002C000000}"/>
    <cellStyle name="Calculation 11 3 2 2" xfId="1548" xr:uid="{00000000-0005-0000-0000-00002D000000}"/>
    <cellStyle name="Calculation 11 3 3" xfId="1150" xr:uid="{00000000-0005-0000-0000-00002E000000}"/>
    <cellStyle name="Calculation 11 4" xfId="579" xr:uid="{00000000-0005-0000-0000-00002F000000}"/>
    <cellStyle name="Calculation 11 4 2" xfId="1406" xr:uid="{00000000-0005-0000-0000-000030000000}"/>
    <cellStyle name="Calculation 11 5" xfId="1008" xr:uid="{00000000-0005-0000-0000-000031000000}"/>
    <cellStyle name="Calculation 12" xfId="225" xr:uid="{00000000-0005-0000-0000-000032000000}"/>
    <cellStyle name="Calculation 12 2" xfId="482" xr:uid="{00000000-0005-0000-0000-000033000000}"/>
    <cellStyle name="Calculation 12 2 2" xfId="880" xr:uid="{00000000-0005-0000-0000-000034000000}"/>
    <cellStyle name="Calculation 12 2 2 2" xfId="1707" xr:uid="{00000000-0005-0000-0000-000035000000}"/>
    <cellStyle name="Calculation 12 2 3" xfId="1309" xr:uid="{00000000-0005-0000-0000-000036000000}"/>
    <cellStyle name="Calculation 12 3" xfId="624" xr:uid="{00000000-0005-0000-0000-000037000000}"/>
    <cellStyle name="Calculation 12 3 2" xfId="1451" xr:uid="{00000000-0005-0000-0000-000038000000}"/>
    <cellStyle name="Calculation 12 4" xfId="1053" xr:uid="{00000000-0005-0000-0000-000039000000}"/>
    <cellStyle name="Calculation 13" xfId="911" xr:uid="{00000000-0005-0000-0000-00003A000000}"/>
    <cellStyle name="Calculation 2" xfId="86" xr:uid="{00000000-0005-0000-0000-00003B000000}"/>
    <cellStyle name="Calculation 2 2" xfId="91" xr:uid="{00000000-0005-0000-0000-00003C000000}"/>
    <cellStyle name="Calculation 2 2 2" xfId="142" xr:uid="{00000000-0005-0000-0000-00003D000000}"/>
    <cellStyle name="Calculation 2 2 2 2" xfId="400" xr:uid="{00000000-0005-0000-0000-00003E000000}"/>
    <cellStyle name="Calculation 2 2 2 2 2" xfId="798" xr:uid="{00000000-0005-0000-0000-00003F000000}"/>
    <cellStyle name="Calculation 2 2 2 2 2 2" xfId="1625" xr:uid="{00000000-0005-0000-0000-000040000000}"/>
    <cellStyle name="Calculation 2 2 2 2 3" xfId="1227" xr:uid="{00000000-0005-0000-0000-000041000000}"/>
    <cellStyle name="Calculation 2 2 2 3" xfId="286" xr:uid="{00000000-0005-0000-0000-000042000000}"/>
    <cellStyle name="Calculation 2 2 2 3 2" xfId="684" xr:uid="{00000000-0005-0000-0000-000043000000}"/>
    <cellStyle name="Calculation 2 2 2 3 2 2" xfId="1511" xr:uid="{00000000-0005-0000-0000-000044000000}"/>
    <cellStyle name="Calculation 2 2 2 3 3" xfId="1113" xr:uid="{00000000-0005-0000-0000-000045000000}"/>
    <cellStyle name="Calculation 2 2 2 4" xfId="542" xr:uid="{00000000-0005-0000-0000-000046000000}"/>
    <cellStyle name="Calculation 2 2 2 4 2" xfId="1369" xr:uid="{00000000-0005-0000-0000-000047000000}"/>
    <cellStyle name="Calculation 2 2 2 5" xfId="971" xr:uid="{00000000-0005-0000-0000-000048000000}"/>
    <cellStyle name="Calculation 2 2 3" xfId="139" xr:uid="{00000000-0005-0000-0000-000049000000}"/>
    <cellStyle name="Calculation 2 2 3 2" xfId="397" xr:uid="{00000000-0005-0000-0000-00004A000000}"/>
    <cellStyle name="Calculation 2 2 3 2 2" xfId="795" xr:uid="{00000000-0005-0000-0000-00004B000000}"/>
    <cellStyle name="Calculation 2 2 3 2 2 2" xfId="1622" xr:uid="{00000000-0005-0000-0000-00004C000000}"/>
    <cellStyle name="Calculation 2 2 3 2 3" xfId="1224" xr:uid="{00000000-0005-0000-0000-00004D000000}"/>
    <cellStyle name="Calculation 2 2 3 3" xfId="283" xr:uid="{00000000-0005-0000-0000-00004E000000}"/>
    <cellStyle name="Calculation 2 2 3 3 2" xfId="681" xr:uid="{00000000-0005-0000-0000-00004F000000}"/>
    <cellStyle name="Calculation 2 2 3 3 2 2" xfId="1508" xr:uid="{00000000-0005-0000-0000-000050000000}"/>
    <cellStyle name="Calculation 2 2 3 3 3" xfId="1110" xr:uid="{00000000-0005-0000-0000-000051000000}"/>
    <cellStyle name="Calculation 2 2 3 4" xfId="539" xr:uid="{00000000-0005-0000-0000-000052000000}"/>
    <cellStyle name="Calculation 2 2 3 4 2" xfId="1366" xr:uid="{00000000-0005-0000-0000-000053000000}"/>
    <cellStyle name="Calculation 2 2 3 5" xfId="968" xr:uid="{00000000-0005-0000-0000-000054000000}"/>
    <cellStyle name="Calculation 2 2 4" xfId="234" xr:uid="{00000000-0005-0000-0000-000055000000}"/>
    <cellStyle name="Calculation 2 2 4 2" xfId="491" xr:uid="{00000000-0005-0000-0000-000056000000}"/>
    <cellStyle name="Calculation 2 2 4 2 2" xfId="889" xr:uid="{00000000-0005-0000-0000-000057000000}"/>
    <cellStyle name="Calculation 2 2 4 2 2 2" xfId="1716" xr:uid="{00000000-0005-0000-0000-000058000000}"/>
    <cellStyle name="Calculation 2 2 4 2 3" xfId="1318" xr:uid="{00000000-0005-0000-0000-000059000000}"/>
    <cellStyle name="Calculation 2 2 4 3" xfId="633" xr:uid="{00000000-0005-0000-0000-00005A000000}"/>
    <cellStyle name="Calculation 2 2 4 3 2" xfId="1460" xr:uid="{00000000-0005-0000-0000-00005B000000}"/>
    <cellStyle name="Calculation 2 2 4 4" xfId="1062" xr:uid="{00000000-0005-0000-0000-00005C000000}"/>
    <cellStyle name="Calculation 2 2 5" xfId="920" xr:uid="{00000000-0005-0000-0000-00005D000000}"/>
    <cellStyle name="Calculation 2 3" xfId="140" xr:uid="{00000000-0005-0000-0000-00005E000000}"/>
    <cellStyle name="Calculation 2 3 2" xfId="398" xr:uid="{00000000-0005-0000-0000-00005F000000}"/>
    <cellStyle name="Calculation 2 3 2 2" xfId="796" xr:uid="{00000000-0005-0000-0000-000060000000}"/>
    <cellStyle name="Calculation 2 3 2 2 2" xfId="1623" xr:uid="{00000000-0005-0000-0000-000061000000}"/>
    <cellStyle name="Calculation 2 3 2 3" xfId="1225" xr:uid="{00000000-0005-0000-0000-000062000000}"/>
    <cellStyle name="Calculation 2 3 3" xfId="284" xr:uid="{00000000-0005-0000-0000-000063000000}"/>
    <cellStyle name="Calculation 2 3 3 2" xfId="682" xr:uid="{00000000-0005-0000-0000-000064000000}"/>
    <cellStyle name="Calculation 2 3 3 2 2" xfId="1509" xr:uid="{00000000-0005-0000-0000-000065000000}"/>
    <cellStyle name="Calculation 2 3 3 3" xfId="1111" xr:uid="{00000000-0005-0000-0000-000066000000}"/>
    <cellStyle name="Calculation 2 3 4" xfId="540" xr:uid="{00000000-0005-0000-0000-000067000000}"/>
    <cellStyle name="Calculation 2 3 4 2" xfId="1367" xr:uid="{00000000-0005-0000-0000-000068000000}"/>
    <cellStyle name="Calculation 2 3 5" xfId="969" xr:uid="{00000000-0005-0000-0000-000069000000}"/>
    <cellStyle name="Calculation 2 4" xfId="119" xr:uid="{00000000-0005-0000-0000-00006A000000}"/>
    <cellStyle name="Calculation 2 4 2" xfId="377" xr:uid="{00000000-0005-0000-0000-00006B000000}"/>
    <cellStyle name="Calculation 2 4 2 2" xfId="775" xr:uid="{00000000-0005-0000-0000-00006C000000}"/>
    <cellStyle name="Calculation 2 4 2 2 2" xfId="1602" xr:uid="{00000000-0005-0000-0000-00006D000000}"/>
    <cellStyle name="Calculation 2 4 2 3" xfId="1204" xr:uid="{00000000-0005-0000-0000-00006E000000}"/>
    <cellStyle name="Calculation 2 4 3" xfId="263" xr:uid="{00000000-0005-0000-0000-00006F000000}"/>
    <cellStyle name="Calculation 2 4 3 2" xfId="661" xr:uid="{00000000-0005-0000-0000-000070000000}"/>
    <cellStyle name="Calculation 2 4 3 2 2" xfId="1488" xr:uid="{00000000-0005-0000-0000-000071000000}"/>
    <cellStyle name="Calculation 2 4 3 3" xfId="1090" xr:uid="{00000000-0005-0000-0000-000072000000}"/>
    <cellStyle name="Calculation 2 4 4" xfId="519" xr:uid="{00000000-0005-0000-0000-000073000000}"/>
    <cellStyle name="Calculation 2 4 4 2" xfId="1346" xr:uid="{00000000-0005-0000-0000-000074000000}"/>
    <cellStyle name="Calculation 2 4 5" xfId="948" xr:uid="{00000000-0005-0000-0000-000075000000}"/>
    <cellStyle name="Calculation 2 5" xfId="184" xr:uid="{00000000-0005-0000-0000-000076000000}"/>
    <cellStyle name="Calculation 2 5 2" xfId="441" xr:uid="{00000000-0005-0000-0000-000077000000}"/>
    <cellStyle name="Calculation 2 5 2 2" xfId="839" xr:uid="{00000000-0005-0000-0000-000078000000}"/>
    <cellStyle name="Calculation 2 5 2 2 2" xfId="1666" xr:uid="{00000000-0005-0000-0000-000079000000}"/>
    <cellStyle name="Calculation 2 5 2 3" xfId="1268" xr:uid="{00000000-0005-0000-0000-00007A000000}"/>
    <cellStyle name="Calculation 2 5 3" xfId="327" xr:uid="{00000000-0005-0000-0000-00007B000000}"/>
    <cellStyle name="Calculation 2 5 3 2" xfId="725" xr:uid="{00000000-0005-0000-0000-00007C000000}"/>
    <cellStyle name="Calculation 2 5 3 2 2" xfId="1552" xr:uid="{00000000-0005-0000-0000-00007D000000}"/>
    <cellStyle name="Calculation 2 5 3 3" xfId="1154" xr:uid="{00000000-0005-0000-0000-00007E000000}"/>
    <cellStyle name="Calculation 2 5 4" xfId="583" xr:uid="{00000000-0005-0000-0000-00007F000000}"/>
    <cellStyle name="Calculation 2 5 4 2" xfId="1410" xr:uid="{00000000-0005-0000-0000-000080000000}"/>
    <cellStyle name="Calculation 2 5 5" xfId="1012" xr:uid="{00000000-0005-0000-0000-000081000000}"/>
    <cellStyle name="Calculation 2 6" xfId="198" xr:uid="{00000000-0005-0000-0000-000082000000}"/>
    <cellStyle name="Calculation 2 6 2" xfId="455" xr:uid="{00000000-0005-0000-0000-000083000000}"/>
    <cellStyle name="Calculation 2 6 2 2" xfId="853" xr:uid="{00000000-0005-0000-0000-000084000000}"/>
    <cellStyle name="Calculation 2 6 2 2 2" xfId="1680" xr:uid="{00000000-0005-0000-0000-000085000000}"/>
    <cellStyle name="Calculation 2 6 2 3" xfId="1282" xr:uid="{00000000-0005-0000-0000-000086000000}"/>
    <cellStyle name="Calculation 2 6 3" xfId="341" xr:uid="{00000000-0005-0000-0000-000087000000}"/>
    <cellStyle name="Calculation 2 6 3 2" xfId="739" xr:uid="{00000000-0005-0000-0000-000088000000}"/>
    <cellStyle name="Calculation 2 6 3 2 2" xfId="1566" xr:uid="{00000000-0005-0000-0000-000089000000}"/>
    <cellStyle name="Calculation 2 6 3 3" xfId="1168" xr:uid="{00000000-0005-0000-0000-00008A000000}"/>
    <cellStyle name="Calculation 2 6 4" xfId="597" xr:uid="{00000000-0005-0000-0000-00008B000000}"/>
    <cellStyle name="Calculation 2 6 4 2" xfId="1424" xr:uid="{00000000-0005-0000-0000-00008C000000}"/>
    <cellStyle name="Calculation 2 6 5" xfId="1026" xr:uid="{00000000-0005-0000-0000-00008D000000}"/>
    <cellStyle name="Calculation 2 7" xfId="230" xr:uid="{00000000-0005-0000-0000-00008E000000}"/>
    <cellStyle name="Calculation 2 7 2" xfId="487" xr:uid="{00000000-0005-0000-0000-00008F000000}"/>
    <cellStyle name="Calculation 2 7 2 2" xfId="885" xr:uid="{00000000-0005-0000-0000-000090000000}"/>
    <cellStyle name="Calculation 2 7 2 2 2" xfId="1712" xr:uid="{00000000-0005-0000-0000-000091000000}"/>
    <cellStyle name="Calculation 2 7 2 3" xfId="1314" xr:uid="{00000000-0005-0000-0000-000092000000}"/>
    <cellStyle name="Calculation 2 7 3" xfId="629" xr:uid="{00000000-0005-0000-0000-000093000000}"/>
    <cellStyle name="Calculation 2 7 3 2" xfId="1456" xr:uid="{00000000-0005-0000-0000-000094000000}"/>
    <cellStyle name="Calculation 2 7 4" xfId="1058" xr:uid="{00000000-0005-0000-0000-000095000000}"/>
    <cellStyle name="Calculation 2 8" xfId="916" xr:uid="{00000000-0005-0000-0000-000096000000}"/>
    <cellStyle name="Calculation 3" xfId="104" xr:uid="{00000000-0005-0000-0000-000097000000}"/>
    <cellStyle name="Calculation 3 2" xfId="158" xr:uid="{00000000-0005-0000-0000-000098000000}"/>
    <cellStyle name="Calculation 3 2 2" xfId="416" xr:uid="{00000000-0005-0000-0000-000099000000}"/>
    <cellStyle name="Calculation 3 2 2 2" xfId="814" xr:uid="{00000000-0005-0000-0000-00009A000000}"/>
    <cellStyle name="Calculation 3 2 2 2 2" xfId="1641" xr:uid="{00000000-0005-0000-0000-00009B000000}"/>
    <cellStyle name="Calculation 3 2 2 3" xfId="1243" xr:uid="{00000000-0005-0000-0000-00009C000000}"/>
    <cellStyle name="Calculation 3 2 3" xfId="302" xr:uid="{00000000-0005-0000-0000-00009D000000}"/>
    <cellStyle name="Calculation 3 2 3 2" xfId="700" xr:uid="{00000000-0005-0000-0000-00009E000000}"/>
    <cellStyle name="Calculation 3 2 3 2 2" xfId="1527" xr:uid="{00000000-0005-0000-0000-00009F000000}"/>
    <cellStyle name="Calculation 3 2 3 3" xfId="1129" xr:uid="{00000000-0005-0000-0000-0000A0000000}"/>
    <cellStyle name="Calculation 3 2 4" xfId="558" xr:uid="{00000000-0005-0000-0000-0000A1000000}"/>
    <cellStyle name="Calculation 3 2 4 2" xfId="1385" xr:uid="{00000000-0005-0000-0000-0000A2000000}"/>
    <cellStyle name="Calculation 3 2 5" xfId="987" xr:uid="{00000000-0005-0000-0000-0000A3000000}"/>
    <cellStyle name="Calculation 3 3" xfId="132" xr:uid="{00000000-0005-0000-0000-0000A4000000}"/>
    <cellStyle name="Calculation 3 3 2" xfId="390" xr:uid="{00000000-0005-0000-0000-0000A5000000}"/>
    <cellStyle name="Calculation 3 3 2 2" xfId="788" xr:uid="{00000000-0005-0000-0000-0000A6000000}"/>
    <cellStyle name="Calculation 3 3 2 2 2" xfId="1615" xr:uid="{00000000-0005-0000-0000-0000A7000000}"/>
    <cellStyle name="Calculation 3 3 2 3" xfId="1217" xr:uid="{00000000-0005-0000-0000-0000A8000000}"/>
    <cellStyle name="Calculation 3 3 3" xfId="276" xr:uid="{00000000-0005-0000-0000-0000A9000000}"/>
    <cellStyle name="Calculation 3 3 3 2" xfId="674" xr:uid="{00000000-0005-0000-0000-0000AA000000}"/>
    <cellStyle name="Calculation 3 3 3 2 2" xfId="1501" xr:uid="{00000000-0005-0000-0000-0000AB000000}"/>
    <cellStyle name="Calculation 3 3 3 3" xfId="1103" xr:uid="{00000000-0005-0000-0000-0000AC000000}"/>
    <cellStyle name="Calculation 3 3 4" xfId="532" xr:uid="{00000000-0005-0000-0000-0000AD000000}"/>
    <cellStyle name="Calculation 3 3 4 2" xfId="1359" xr:uid="{00000000-0005-0000-0000-0000AE000000}"/>
    <cellStyle name="Calculation 3 3 5" xfId="961" xr:uid="{00000000-0005-0000-0000-0000AF000000}"/>
    <cellStyle name="Calculation 3 4" xfId="219" xr:uid="{00000000-0005-0000-0000-0000B0000000}"/>
    <cellStyle name="Calculation 3 4 2" xfId="476" xr:uid="{00000000-0005-0000-0000-0000B1000000}"/>
    <cellStyle name="Calculation 3 4 2 2" xfId="874" xr:uid="{00000000-0005-0000-0000-0000B2000000}"/>
    <cellStyle name="Calculation 3 4 2 2 2" xfId="1701" xr:uid="{00000000-0005-0000-0000-0000B3000000}"/>
    <cellStyle name="Calculation 3 4 2 3" xfId="1303" xr:uid="{00000000-0005-0000-0000-0000B4000000}"/>
    <cellStyle name="Calculation 3 4 3" xfId="362" xr:uid="{00000000-0005-0000-0000-0000B5000000}"/>
    <cellStyle name="Calculation 3 4 3 2" xfId="760" xr:uid="{00000000-0005-0000-0000-0000B6000000}"/>
    <cellStyle name="Calculation 3 4 3 2 2" xfId="1587" xr:uid="{00000000-0005-0000-0000-0000B7000000}"/>
    <cellStyle name="Calculation 3 4 3 3" xfId="1189" xr:uid="{00000000-0005-0000-0000-0000B8000000}"/>
    <cellStyle name="Calculation 3 4 4" xfId="618" xr:uid="{00000000-0005-0000-0000-0000B9000000}"/>
    <cellStyle name="Calculation 3 4 4 2" xfId="1445" xr:uid="{00000000-0005-0000-0000-0000BA000000}"/>
    <cellStyle name="Calculation 3 4 5" xfId="1047" xr:uid="{00000000-0005-0000-0000-0000BB000000}"/>
    <cellStyle name="Calculation 3 5" xfId="193" xr:uid="{00000000-0005-0000-0000-0000BC000000}"/>
    <cellStyle name="Calculation 3 5 2" xfId="450" xr:uid="{00000000-0005-0000-0000-0000BD000000}"/>
    <cellStyle name="Calculation 3 5 2 2" xfId="848" xr:uid="{00000000-0005-0000-0000-0000BE000000}"/>
    <cellStyle name="Calculation 3 5 2 2 2" xfId="1675" xr:uid="{00000000-0005-0000-0000-0000BF000000}"/>
    <cellStyle name="Calculation 3 5 2 3" xfId="1277" xr:uid="{00000000-0005-0000-0000-0000C0000000}"/>
    <cellStyle name="Calculation 3 5 3" xfId="336" xr:uid="{00000000-0005-0000-0000-0000C1000000}"/>
    <cellStyle name="Calculation 3 5 3 2" xfId="734" xr:uid="{00000000-0005-0000-0000-0000C2000000}"/>
    <cellStyle name="Calculation 3 5 3 2 2" xfId="1561" xr:uid="{00000000-0005-0000-0000-0000C3000000}"/>
    <cellStyle name="Calculation 3 5 3 3" xfId="1163" xr:uid="{00000000-0005-0000-0000-0000C4000000}"/>
    <cellStyle name="Calculation 3 5 4" xfId="592" xr:uid="{00000000-0005-0000-0000-0000C5000000}"/>
    <cellStyle name="Calculation 3 5 4 2" xfId="1419" xr:uid="{00000000-0005-0000-0000-0000C6000000}"/>
    <cellStyle name="Calculation 3 5 5" xfId="1021" xr:uid="{00000000-0005-0000-0000-0000C7000000}"/>
    <cellStyle name="Calculation 3 6" xfId="247" xr:uid="{00000000-0005-0000-0000-0000C8000000}"/>
    <cellStyle name="Calculation 3 6 2" xfId="504" xr:uid="{00000000-0005-0000-0000-0000C9000000}"/>
    <cellStyle name="Calculation 3 6 2 2" xfId="902" xr:uid="{00000000-0005-0000-0000-0000CA000000}"/>
    <cellStyle name="Calculation 3 6 2 2 2" xfId="1729" xr:uid="{00000000-0005-0000-0000-0000CB000000}"/>
    <cellStyle name="Calculation 3 6 2 3" xfId="1331" xr:uid="{00000000-0005-0000-0000-0000CC000000}"/>
    <cellStyle name="Calculation 3 6 3" xfId="646" xr:uid="{00000000-0005-0000-0000-0000CD000000}"/>
    <cellStyle name="Calculation 3 6 3 2" xfId="1473" xr:uid="{00000000-0005-0000-0000-0000CE000000}"/>
    <cellStyle name="Calculation 3 6 4" xfId="1075" xr:uid="{00000000-0005-0000-0000-0000CF000000}"/>
    <cellStyle name="Calculation 3 7" xfId="933" xr:uid="{00000000-0005-0000-0000-0000D0000000}"/>
    <cellStyle name="Calculation 4" xfId="106" xr:uid="{00000000-0005-0000-0000-0000D1000000}"/>
    <cellStyle name="Calculation 4 2" xfId="160" xr:uid="{00000000-0005-0000-0000-0000D2000000}"/>
    <cellStyle name="Calculation 4 2 2" xfId="418" xr:uid="{00000000-0005-0000-0000-0000D3000000}"/>
    <cellStyle name="Calculation 4 2 2 2" xfId="816" xr:uid="{00000000-0005-0000-0000-0000D4000000}"/>
    <cellStyle name="Calculation 4 2 2 2 2" xfId="1643" xr:uid="{00000000-0005-0000-0000-0000D5000000}"/>
    <cellStyle name="Calculation 4 2 2 3" xfId="1245" xr:uid="{00000000-0005-0000-0000-0000D6000000}"/>
    <cellStyle name="Calculation 4 2 3" xfId="304" xr:uid="{00000000-0005-0000-0000-0000D7000000}"/>
    <cellStyle name="Calculation 4 2 3 2" xfId="702" xr:uid="{00000000-0005-0000-0000-0000D8000000}"/>
    <cellStyle name="Calculation 4 2 3 2 2" xfId="1529" xr:uid="{00000000-0005-0000-0000-0000D9000000}"/>
    <cellStyle name="Calculation 4 2 3 3" xfId="1131" xr:uid="{00000000-0005-0000-0000-0000DA000000}"/>
    <cellStyle name="Calculation 4 2 4" xfId="560" xr:uid="{00000000-0005-0000-0000-0000DB000000}"/>
    <cellStyle name="Calculation 4 2 4 2" xfId="1387" xr:uid="{00000000-0005-0000-0000-0000DC000000}"/>
    <cellStyle name="Calculation 4 2 5" xfId="989" xr:uid="{00000000-0005-0000-0000-0000DD000000}"/>
    <cellStyle name="Calculation 4 3" xfId="134" xr:uid="{00000000-0005-0000-0000-0000DE000000}"/>
    <cellStyle name="Calculation 4 3 2" xfId="392" xr:uid="{00000000-0005-0000-0000-0000DF000000}"/>
    <cellStyle name="Calculation 4 3 2 2" xfId="790" xr:uid="{00000000-0005-0000-0000-0000E0000000}"/>
    <cellStyle name="Calculation 4 3 2 2 2" xfId="1617" xr:uid="{00000000-0005-0000-0000-0000E1000000}"/>
    <cellStyle name="Calculation 4 3 2 3" xfId="1219" xr:uid="{00000000-0005-0000-0000-0000E2000000}"/>
    <cellStyle name="Calculation 4 3 3" xfId="278" xr:uid="{00000000-0005-0000-0000-0000E3000000}"/>
    <cellStyle name="Calculation 4 3 3 2" xfId="676" xr:uid="{00000000-0005-0000-0000-0000E4000000}"/>
    <cellStyle name="Calculation 4 3 3 2 2" xfId="1503" xr:uid="{00000000-0005-0000-0000-0000E5000000}"/>
    <cellStyle name="Calculation 4 3 3 3" xfId="1105" xr:uid="{00000000-0005-0000-0000-0000E6000000}"/>
    <cellStyle name="Calculation 4 3 4" xfId="534" xr:uid="{00000000-0005-0000-0000-0000E7000000}"/>
    <cellStyle name="Calculation 4 3 4 2" xfId="1361" xr:uid="{00000000-0005-0000-0000-0000E8000000}"/>
    <cellStyle name="Calculation 4 3 5" xfId="963" xr:uid="{00000000-0005-0000-0000-0000E9000000}"/>
    <cellStyle name="Calculation 4 4" xfId="221" xr:uid="{00000000-0005-0000-0000-0000EA000000}"/>
    <cellStyle name="Calculation 4 4 2" xfId="478" xr:uid="{00000000-0005-0000-0000-0000EB000000}"/>
    <cellStyle name="Calculation 4 4 2 2" xfId="876" xr:uid="{00000000-0005-0000-0000-0000EC000000}"/>
    <cellStyle name="Calculation 4 4 2 2 2" xfId="1703" xr:uid="{00000000-0005-0000-0000-0000ED000000}"/>
    <cellStyle name="Calculation 4 4 2 3" xfId="1305" xr:uid="{00000000-0005-0000-0000-0000EE000000}"/>
    <cellStyle name="Calculation 4 4 3" xfId="364" xr:uid="{00000000-0005-0000-0000-0000EF000000}"/>
    <cellStyle name="Calculation 4 4 3 2" xfId="762" xr:uid="{00000000-0005-0000-0000-0000F0000000}"/>
    <cellStyle name="Calculation 4 4 3 2 2" xfId="1589" xr:uid="{00000000-0005-0000-0000-0000F1000000}"/>
    <cellStyle name="Calculation 4 4 3 3" xfId="1191" xr:uid="{00000000-0005-0000-0000-0000F2000000}"/>
    <cellStyle name="Calculation 4 4 4" xfId="620" xr:uid="{00000000-0005-0000-0000-0000F3000000}"/>
    <cellStyle name="Calculation 4 4 4 2" xfId="1447" xr:uid="{00000000-0005-0000-0000-0000F4000000}"/>
    <cellStyle name="Calculation 4 4 5" xfId="1049" xr:uid="{00000000-0005-0000-0000-0000F5000000}"/>
    <cellStyle name="Calculation 4 5" xfId="200" xr:uid="{00000000-0005-0000-0000-0000F6000000}"/>
    <cellStyle name="Calculation 4 5 2" xfId="457" xr:uid="{00000000-0005-0000-0000-0000F7000000}"/>
    <cellStyle name="Calculation 4 5 2 2" xfId="855" xr:uid="{00000000-0005-0000-0000-0000F8000000}"/>
    <cellStyle name="Calculation 4 5 2 2 2" xfId="1682" xr:uid="{00000000-0005-0000-0000-0000F9000000}"/>
    <cellStyle name="Calculation 4 5 2 3" xfId="1284" xr:uid="{00000000-0005-0000-0000-0000FA000000}"/>
    <cellStyle name="Calculation 4 5 3" xfId="343" xr:uid="{00000000-0005-0000-0000-0000FB000000}"/>
    <cellStyle name="Calculation 4 5 3 2" xfId="741" xr:uid="{00000000-0005-0000-0000-0000FC000000}"/>
    <cellStyle name="Calculation 4 5 3 2 2" xfId="1568" xr:uid="{00000000-0005-0000-0000-0000FD000000}"/>
    <cellStyle name="Calculation 4 5 3 3" xfId="1170" xr:uid="{00000000-0005-0000-0000-0000FE000000}"/>
    <cellStyle name="Calculation 4 5 4" xfId="599" xr:uid="{00000000-0005-0000-0000-0000FF000000}"/>
    <cellStyle name="Calculation 4 5 4 2" xfId="1426" xr:uid="{00000000-0005-0000-0000-000000010000}"/>
    <cellStyle name="Calculation 4 5 5" xfId="1028" xr:uid="{00000000-0005-0000-0000-000001010000}"/>
    <cellStyle name="Calculation 4 6" xfId="249" xr:uid="{00000000-0005-0000-0000-000002010000}"/>
    <cellStyle name="Calculation 4 6 2" xfId="506" xr:uid="{00000000-0005-0000-0000-000003010000}"/>
    <cellStyle name="Calculation 4 6 2 2" xfId="904" xr:uid="{00000000-0005-0000-0000-000004010000}"/>
    <cellStyle name="Calculation 4 6 2 2 2" xfId="1731" xr:uid="{00000000-0005-0000-0000-000005010000}"/>
    <cellStyle name="Calculation 4 6 2 3" xfId="1333" xr:uid="{00000000-0005-0000-0000-000006010000}"/>
    <cellStyle name="Calculation 4 6 3" xfId="648" xr:uid="{00000000-0005-0000-0000-000007010000}"/>
    <cellStyle name="Calculation 4 6 3 2" xfId="1475" xr:uid="{00000000-0005-0000-0000-000008010000}"/>
    <cellStyle name="Calculation 4 6 4" xfId="1077" xr:uid="{00000000-0005-0000-0000-000009010000}"/>
    <cellStyle name="Calculation 4 7" xfId="935" xr:uid="{00000000-0005-0000-0000-00000A010000}"/>
    <cellStyle name="Calculation 5" xfId="107" xr:uid="{00000000-0005-0000-0000-00000B010000}"/>
    <cellStyle name="Calculation 5 2" xfId="161" xr:uid="{00000000-0005-0000-0000-00000C010000}"/>
    <cellStyle name="Calculation 5 2 2" xfId="419" xr:uid="{00000000-0005-0000-0000-00000D010000}"/>
    <cellStyle name="Calculation 5 2 2 2" xfId="817" xr:uid="{00000000-0005-0000-0000-00000E010000}"/>
    <cellStyle name="Calculation 5 2 2 2 2" xfId="1644" xr:uid="{00000000-0005-0000-0000-00000F010000}"/>
    <cellStyle name="Calculation 5 2 2 3" xfId="1246" xr:uid="{00000000-0005-0000-0000-000010010000}"/>
    <cellStyle name="Calculation 5 2 3" xfId="305" xr:uid="{00000000-0005-0000-0000-000011010000}"/>
    <cellStyle name="Calculation 5 2 3 2" xfId="703" xr:uid="{00000000-0005-0000-0000-000012010000}"/>
    <cellStyle name="Calculation 5 2 3 2 2" xfId="1530" xr:uid="{00000000-0005-0000-0000-000013010000}"/>
    <cellStyle name="Calculation 5 2 3 3" xfId="1132" xr:uid="{00000000-0005-0000-0000-000014010000}"/>
    <cellStyle name="Calculation 5 2 4" xfId="561" xr:uid="{00000000-0005-0000-0000-000015010000}"/>
    <cellStyle name="Calculation 5 2 4 2" xfId="1388" xr:uid="{00000000-0005-0000-0000-000016010000}"/>
    <cellStyle name="Calculation 5 2 5" xfId="990" xr:uid="{00000000-0005-0000-0000-000017010000}"/>
    <cellStyle name="Calculation 5 3" xfId="135" xr:uid="{00000000-0005-0000-0000-000018010000}"/>
    <cellStyle name="Calculation 5 3 2" xfId="393" xr:uid="{00000000-0005-0000-0000-000019010000}"/>
    <cellStyle name="Calculation 5 3 2 2" xfId="791" xr:uid="{00000000-0005-0000-0000-00001A010000}"/>
    <cellStyle name="Calculation 5 3 2 2 2" xfId="1618" xr:uid="{00000000-0005-0000-0000-00001B010000}"/>
    <cellStyle name="Calculation 5 3 2 3" xfId="1220" xr:uid="{00000000-0005-0000-0000-00001C010000}"/>
    <cellStyle name="Calculation 5 3 3" xfId="279" xr:uid="{00000000-0005-0000-0000-00001D010000}"/>
    <cellStyle name="Calculation 5 3 3 2" xfId="677" xr:uid="{00000000-0005-0000-0000-00001E010000}"/>
    <cellStyle name="Calculation 5 3 3 2 2" xfId="1504" xr:uid="{00000000-0005-0000-0000-00001F010000}"/>
    <cellStyle name="Calculation 5 3 3 3" xfId="1106" xr:uid="{00000000-0005-0000-0000-000020010000}"/>
    <cellStyle name="Calculation 5 3 4" xfId="535" xr:uid="{00000000-0005-0000-0000-000021010000}"/>
    <cellStyle name="Calculation 5 3 4 2" xfId="1362" xr:uid="{00000000-0005-0000-0000-000022010000}"/>
    <cellStyle name="Calculation 5 3 5" xfId="964" xr:uid="{00000000-0005-0000-0000-000023010000}"/>
    <cellStyle name="Calculation 5 4" xfId="222" xr:uid="{00000000-0005-0000-0000-000024010000}"/>
    <cellStyle name="Calculation 5 4 2" xfId="479" xr:uid="{00000000-0005-0000-0000-000025010000}"/>
    <cellStyle name="Calculation 5 4 2 2" xfId="877" xr:uid="{00000000-0005-0000-0000-000026010000}"/>
    <cellStyle name="Calculation 5 4 2 2 2" xfId="1704" xr:uid="{00000000-0005-0000-0000-000027010000}"/>
    <cellStyle name="Calculation 5 4 2 3" xfId="1306" xr:uid="{00000000-0005-0000-0000-000028010000}"/>
    <cellStyle name="Calculation 5 4 3" xfId="365" xr:uid="{00000000-0005-0000-0000-000029010000}"/>
    <cellStyle name="Calculation 5 4 3 2" xfId="763" xr:uid="{00000000-0005-0000-0000-00002A010000}"/>
    <cellStyle name="Calculation 5 4 3 2 2" xfId="1590" xr:uid="{00000000-0005-0000-0000-00002B010000}"/>
    <cellStyle name="Calculation 5 4 3 3" xfId="1192" xr:uid="{00000000-0005-0000-0000-00002C010000}"/>
    <cellStyle name="Calculation 5 4 4" xfId="621" xr:uid="{00000000-0005-0000-0000-00002D010000}"/>
    <cellStyle name="Calculation 5 4 4 2" xfId="1448" xr:uid="{00000000-0005-0000-0000-00002E010000}"/>
    <cellStyle name="Calculation 5 4 5" xfId="1050" xr:uid="{00000000-0005-0000-0000-00002F010000}"/>
    <cellStyle name="Calculation 5 5" xfId="197" xr:uid="{00000000-0005-0000-0000-000030010000}"/>
    <cellStyle name="Calculation 5 5 2" xfId="454" xr:uid="{00000000-0005-0000-0000-000031010000}"/>
    <cellStyle name="Calculation 5 5 2 2" xfId="852" xr:uid="{00000000-0005-0000-0000-000032010000}"/>
    <cellStyle name="Calculation 5 5 2 2 2" xfId="1679" xr:uid="{00000000-0005-0000-0000-000033010000}"/>
    <cellStyle name="Calculation 5 5 2 3" xfId="1281" xr:uid="{00000000-0005-0000-0000-000034010000}"/>
    <cellStyle name="Calculation 5 5 3" xfId="340" xr:uid="{00000000-0005-0000-0000-000035010000}"/>
    <cellStyle name="Calculation 5 5 3 2" xfId="738" xr:uid="{00000000-0005-0000-0000-000036010000}"/>
    <cellStyle name="Calculation 5 5 3 2 2" xfId="1565" xr:uid="{00000000-0005-0000-0000-000037010000}"/>
    <cellStyle name="Calculation 5 5 3 3" xfId="1167" xr:uid="{00000000-0005-0000-0000-000038010000}"/>
    <cellStyle name="Calculation 5 5 4" xfId="596" xr:uid="{00000000-0005-0000-0000-000039010000}"/>
    <cellStyle name="Calculation 5 5 4 2" xfId="1423" xr:uid="{00000000-0005-0000-0000-00003A010000}"/>
    <cellStyle name="Calculation 5 5 5" xfId="1025" xr:uid="{00000000-0005-0000-0000-00003B010000}"/>
    <cellStyle name="Calculation 5 6" xfId="250" xr:uid="{00000000-0005-0000-0000-00003C010000}"/>
    <cellStyle name="Calculation 5 6 2" xfId="507" xr:uid="{00000000-0005-0000-0000-00003D010000}"/>
    <cellStyle name="Calculation 5 6 2 2" xfId="905" xr:uid="{00000000-0005-0000-0000-00003E010000}"/>
    <cellStyle name="Calculation 5 6 2 2 2" xfId="1732" xr:uid="{00000000-0005-0000-0000-00003F010000}"/>
    <cellStyle name="Calculation 5 6 2 3" xfId="1334" xr:uid="{00000000-0005-0000-0000-000040010000}"/>
    <cellStyle name="Calculation 5 6 3" xfId="649" xr:uid="{00000000-0005-0000-0000-000041010000}"/>
    <cellStyle name="Calculation 5 6 3 2" xfId="1476" xr:uid="{00000000-0005-0000-0000-000042010000}"/>
    <cellStyle name="Calculation 5 6 4" xfId="1078" xr:uid="{00000000-0005-0000-0000-000043010000}"/>
    <cellStyle name="Calculation 5 7" xfId="936" xr:uid="{00000000-0005-0000-0000-000044010000}"/>
    <cellStyle name="Calculation 6" xfId="92" xr:uid="{00000000-0005-0000-0000-000045010000}"/>
    <cellStyle name="Calculation 6 2" xfId="144" xr:uid="{00000000-0005-0000-0000-000046010000}"/>
    <cellStyle name="Calculation 6 2 2" xfId="402" xr:uid="{00000000-0005-0000-0000-000047010000}"/>
    <cellStyle name="Calculation 6 2 2 2" xfId="800" xr:uid="{00000000-0005-0000-0000-000048010000}"/>
    <cellStyle name="Calculation 6 2 2 2 2" xfId="1627" xr:uid="{00000000-0005-0000-0000-000049010000}"/>
    <cellStyle name="Calculation 6 2 2 3" xfId="1229" xr:uid="{00000000-0005-0000-0000-00004A010000}"/>
    <cellStyle name="Calculation 6 2 3" xfId="288" xr:uid="{00000000-0005-0000-0000-00004B010000}"/>
    <cellStyle name="Calculation 6 2 3 2" xfId="686" xr:uid="{00000000-0005-0000-0000-00004C010000}"/>
    <cellStyle name="Calculation 6 2 3 2 2" xfId="1513" xr:uid="{00000000-0005-0000-0000-00004D010000}"/>
    <cellStyle name="Calculation 6 2 3 3" xfId="1115" xr:uid="{00000000-0005-0000-0000-00004E010000}"/>
    <cellStyle name="Calculation 6 2 4" xfId="544" xr:uid="{00000000-0005-0000-0000-00004F010000}"/>
    <cellStyle name="Calculation 6 2 4 2" xfId="1371" xr:uid="{00000000-0005-0000-0000-000050010000}"/>
    <cellStyle name="Calculation 6 2 5" xfId="973" xr:uid="{00000000-0005-0000-0000-000051010000}"/>
    <cellStyle name="Calculation 6 3" xfId="120" xr:uid="{00000000-0005-0000-0000-000052010000}"/>
    <cellStyle name="Calculation 6 3 2" xfId="378" xr:uid="{00000000-0005-0000-0000-000053010000}"/>
    <cellStyle name="Calculation 6 3 2 2" xfId="776" xr:uid="{00000000-0005-0000-0000-000054010000}"/>
    <cellStyle name="Calculation 6 3 2 2 2" xfId="1603" xr:uid="{00000000-0005-0000-0000-000055010000}"/>
    <cellStyle name="Calculation 6 3 2 3" xfId="1205" xr:uid="{00000000-0005-0000-0000-000056010000}"/>
    <cellStyle name="Calculation 6 3 3" xfId="264" xr:uid="{00000000-0005-0000-0000-000057010000}"/>
    <cellStyle name="Calculation 6 3 3 2" xfId="662" xr:uid="{00000000-0005-0000-0000-000058010000}"/>
    <cellStyle name="Calculation 6 3 3 2 2" xfId="1489" xr:uid="{00000000-0005-0000-0000-000059010000}"/>
    <cellStyle name="Calculation 6 3 3 3" xfId="1091" xr:uid="{00000000-0005-0000-0000-00005A010000}"/>
    <cellStyle name="Calculation 6 3 4" xfId="520" xr:uid="{00000000-0005-0000-0000-00005B010000}"/>
    <cellStyle name="Calculation 6 3 4 2" xfId="1347" xr:uid="{00000000-0005-0000-0000-00005C010000}"/>
    <cellStyle name="Calculation 6 3 5" xfId="949" xr:uid="{00000000-0005-0000-0000-00005D010000}"/>
    <cellStyle name="Calculation 6 4" xfId="208" xr:uid="{00000000-0005-0000-0000-00005E010000}"/>
    <cellStyle name="Calculation 6 4 2" xfId="465" xr:uid="{00000000-0005-0000-0000-00005F010000}"/>
    <cellStyle name="Calculation 6 4 2 2" xfId="863" xr:uid="{00000000-0005-0000-0000-000060010000}"/>
    <cellStyle name="Calculation 6 4 2 2 2" xfId="1690" xr:uid="{00000000-0005-0000-0000-000061010000}"/>
    <cellStyle name="Calculation 6 4 2 3" xfId="1292" xr:uid="{00000000-0005-0000-0000-000062010000}"/>
    <cellStyle name="Calculation 6 4 3" xfId="351" xr:uid="{00000000-0005-0000-0000-000063010000}"/>
    <cellStyle name="Calculation 6 4 3 2" xfId="749" xr:uid="{00000000-0005-0000-0000-000064010000}"/>
    <cellStyle name="Calculation 6 4 3 2 2" xfId="1576" xr:uid="{00000000-0005-0000-0000-000065010000}"/>
    <cellStyle name="Calculation 6 4 3 3" xfId="1178" xr:uid="{00000000-0005-0000-0000-000066010000}"/>
    <cellStyle name="Calculation 6 4 4" xfId="607" xr:uid="{00000000-0005-0000-0000-000067010000}"/>
    <cellStyle name="Calculation 6 4 4 2" xfId="1434" xr:uid="{00000000-0005-0000-0000-000068010000}"/>
    <cellStyle name="Calculation 6 4 5" xfId="1036" xr:uid="{00000000-0005-0000-0000-000069010000}"/>
    <cellStyle name="Calculation 6 5" xfId="189" xr:uid="{00000000-0005-0000-0000-00006A010000}"/>
    <cellStyle name="Calculation 6 5 2" xfId="446" xr:uid="{00000000-0005-0000-0000-00006B010000}"/>
    <cellStyle name="Calculation 6 5 2 2" xfId="844" xr:uid="{00000000-0005-0000-0000-00006C010000}"/>
    <cellStyle name="Calculation 6 5 2 2 2" xfId="1671" xr:uid="{00000000-0005-0000-0000-00006D010000}"/>
    <cellStyle name="Calculation 6 5 2 3" xfId="1273" xr:uid="{00000000-0005-0000-0000-00006E010000}"/>
    <cellStyle name="Calculation 6 5 3" xfId="332" xr:uid="{00000000-0005-0000-0000-00006F010000}"/>
    <cellStyle name="Calculation 6 5 3 2" xfId="730" xr:uid="{00000000-0005-0000-0000-000070010000}"/>
    <cellStyle name="Calculation 6 5 3 2 2" xfId="1557" xr:uid="{00000000-0005-0000-0000-000071010000}"/>
    <cellStyle name="Calculation 6 5 3 3" xfId="1159" xr:uid="{00000000-0005-0000-0000-000072010000}"/>
    <cellStyle name="Calculation 6 5 4" xfId="588" xr:uid="{00000000-0005-0000-0000-000073010000}"/>
    <cellStyle name="Calculation 6 5 4 2" xfId="1415" xr:uid="{00000000-0005-0000-0000-000074010000}"/>
    <cellStyle name="Calculation 6 5 5" xfId="1017" xr:uid="{00000000-0005-0000-0000-000075010000}"/>
    <cellStyle name="Calculation 6 6" xfId="235" xr:uid="{00000000-0005-0000-0000-000076010000}"/>
    <cellStyle name="Calculation 6 6 2" xfId="492" xr:uid="{00000000-0005-0000-0000-000077010000}"/>
    <cellStyle name="Calculation 6 6 2 2" xfId="890" xr:uid="{00000000-0005-0000-0000-000078010000}"/>
    <cellStyle name="Calculation 6 6 2 2 2" xfId="1717" xr:uid="{00000000-0005-0000-0000-000079010000}"/>
    <cellStyle name="Calculation 6 6 2 3" xfId="1319" xr:uid="{00000000-0005-0000-0000-00007A010000}"/>
    <cellStyle name="Calculation 6 6 3" xfId="634" xr:uid="{00000000-0005-0000-0000-00007B010000}"/>
    <cellStyle name="Calculation 6 6 3 2" xfId="1461" xr:uid="{00000000-0005-0000-0000-00007C010000}"/>
    <cellStyle name="Calculation 6 6 4" xfId="1063" xr:uid="{00000000-0005-0000-0000-00007D010000}"/>
    <cellStyle name="Calculation 6 7" xfId="921" xr:uid="{00000000-0005-0000-0000-00007E010000}"/>
    <cellStyle name="Calculation 7" xfId="109" xr:uid="{00000000-0005-0000-0000-00007F010000}"/>
    <cellStyle name="Calculation 7 2" xfId="163" xr:uid="{00000000-0005-0000-0000-000080010000}"/>
    <cellStyle name="Calculation 7 2 2" xfId="421" xr:uid="{00000000-0005-0000-0000-000081010000}"/>
    <cellStyle name="Calculation 7 2 2 2" xfId="819" xr:uid="{00000000-0005-0000-0000-000082010000}"/>
    <cellStyle name="Calculation 7 2 2 2 2" xfId="1646" xr:uid="{00000000-0005-0000-0000-000083010000}"/>
    <cellStyle name="Calculation 7 2 2 3" xfId="1248" xr:uid="{00000000-0005-0000-0000-000084010000}"/>
    <cellStyle name="Calculation 7 2 3" xfId="307" xr:uid="{00000000-0005-0000-0000-000085010000}"/>
    <cellStyle name="Calculation 7 2 3 2" xfId="705" xr:uid="{00000000-0005-0000-0000-000086010000}"/>
    <cellStyle name="Calculation 7 2 3 2 2" xfId="1532" xr:uid="{00000000-0005-0000-0000-000087010000}"/>
    <cellStyle name="Calculation 7 2 3 3" xfId="1134" xr:uid="{00000000-0005-0000-0000-000088010000}"/>
    <cellStyle name="Calculation 7 2 4" xfId="563" xr:uid="{00000000-0005-0000-0000-000089010000}"/>
    <cellStyle name="Calculation 7 2 4 2" xfId="1390" xr:uid="{00000000-0005-0000-0000-00008A010000}"/>
    <cellStyle name="Calculation 7 2 5" xfId="992" xr:uid="{00000000-0005-0000-0000-00008B010000}"/>
    <cellStyle name="Calculation 7 3" xfId="153" xr:uid="{00000000-0005-0000-0000-00008C010000}"/>
    <cellStyle name="Calculation 7 3 2" xfId="411" xr:uid="{00000000-0005-0000-0000-00008D010000}"/>
    <cellStyle name="Calculation 7 3 2 2" xfId="809" xr:uid="{00000000-0005-0000-0000-00008E010000}"/>
    <cellStyle name="Calculation 7 3 2 2 2" xfId="1636" xr:uid="{00000000-0005-0000-0000-00008F010000}"/>
    <cellStyle name="Calculation 7 3 2 3" xfId="1238" xr:uid="{00000000-0005-0000-0000-000090010000}"/>
    <cellStyle name="Calculation 7 3 3" xfId="297" xr:uid="{00000000-0005-0000-0000-000091010000}"/>
    <cellStyle name="Calculation 7 3 3 2" xfId="695" xr:uid="{00000000-0005-0000-0000-000092010000}"/>
    <cellStyle name="Calculation 7 3 3 2 2" xfId="1522" xr:uid="{00000000-0005-0000-0000-000093010000}"/>
    <cellStyle name="Calculation 7 3 3 3" xfId="1124" xr:uid="{00000000-0005-0000-0000-000094010000}"/>
    <cellStyle name="Calculation 7 3 4" xfId="553" xr:uid="{00000000-0005-0000-0000-000095010000}"/>
    <cellStyle name="Calculation 7 3 4 2" xfId="1380" xr:uid="{00000000-0005-0000-0000-000096010000}"/>
    <cellStyle name="Calculation 7 3 5" xfId="982" xr:uid="{00000000-0005-0000-0000-000097010000}"/>
    <cellStyle name="Calculation 7 4" xfId="367" xr:uid="{00000000-0005-0000-0000-000098010000}"/>
    <cellStyle name="Calculation 7 4 2" xfId="765" xr:uid="{00000000-0005-0000-0000-000099010000}"/>
    <cellStyle name="Calculation 7 4 2 2" xfId="1592" xr:uid="{00000000-0005-0000-0000-00009A010000}"/>
    <cellStyle name="Calculation 7 4 3" xfId="1194" xr:uid="{00000000-0005-0000-0000-00009B010000}"/>
    <cellStyle name="Calculation 7 5" xfId="253" xr:uid="{00000000-0005-0000-0000-00009C010000}"/>
    <cellStyle name="Calculation 7 5 2" xfId="651" xr:uid="{00000000-0005-0000-0000-00009D010000}"/>
    <cellStyle name="Calculation 7 5 2 2" xfId="1478" xr:uid="{00000000-0005-0000-0000-00009E010000}"/>
    <cellStyle name="Calculation 7 5 3" xfId="1080" xr:uid="{00000000-0005-0000-0000-00009F010000}"/>
    <cellStyle name="Calculation 7 6" xfId="509" xr:uid="{00000000-0005-0000-0000-0000A0010000}"/>
    <cellStyle name="Calculation 7 6 2" xfId="1336" xr:uid="{00000000-0005-0000-0000-0000A1010000}"/>
    <cellStyle name="Calculation 7 7" xfId="938" xr:uid="{00000000-0005-0000-0000-0000A2010000}"/>
    <cellStyle name="Calculation 8" xfId="116" xr:uid="{00000000-0005-0000-0000-0000A3010000}"/>
    <cellStyle name="Calculation 8 2" xfId="170" xr:uid="{00000000-0005-0000-0000-0000A4010000}"/>
    <cellStyle name="Calculation 8 2 2" xfId="428" xr:uid="{00000000-0005-0000-0000-0000A5010000}"/>
    <cellStyle name="Calculation 8 2 2 2" xfId="826" xr:uid="{00000000-0005-0000-0000-0000A6010000}"/>
    <cellStyle name="Calculation 8 2 2 2 2" xfId="1653" xr:uid="{00000000-0005-0000-0000-0000A7010000}"/>
    <cellStyle name="Calculation 8 2 2 3" xfId="1255" xr:uid="{00000000-0005-0000-0000-0000A8010000}"/>
    <cellStyle name="Calculation 8 2 3" xfId="314" xr:uid="{00000000-0005-0000-0000-0000A9010000}"/>
    <cellStyle name="Calculation 8 2 3 2" xfId="712" xr:uid="{00000000-0005-0000-0000-0000AA010000}"/>
    <cellStyle name="Calculation 8 2 3 2 2" xfId="1539" xr:uid="{00000000-0005-0000-0000-0000AB010000}"/>
    <cellStyle name="Calculation 8 2 3 3" xfId="1141" xr:uid="{00000000-0005-0000-0000-0000AC010000}"/>
    <cellStyle name="Calculation 8 2 4" xfId="570" xr:uid="{00000000-0005-0000-0000-0000AD010000}"/>
    <cellStyle name="Calculation 8 2 4 2" xfId="1397" xr:uid="{00000000-0005-0000-0000-0000AE010000}"/>
    <cellStyle name="Calculation 8 2 5" xfId="999" xr:uid="{00000000-0005-0000-0000-0000AF010000}"/>
    <cellStyle name="Calculation 8 3" xfId="374" xr:uid="{00000000-0005-0000-0000-0000B0010000}"/>
    <cellStyle name="Calculation 8 3 2" xfId="772" xr:uid="{00000000-0005-0000-0000-0000B1010000}"/>
    <cellStyle name="Calculation 8 3 2 2" xfId="1599" xr:uid="{00000000-0005-0000-0000-0000B2010000}"/>
    <cellStyle name="Calculation 8 3 3" xfId="1201" xr:uid="{00000000-0005-0000-0000-0000B3010000}"/>
    <cellStyle name="Calculation 8 4" xfId="260" xr:uid="{00000000-0005-0000-0000-0000B4010000}"/>
    <cellStyle name="Calculation 8 4 2" xfId="658" xr:uid="{00000000-0005-0000-0000-0000B5010000}"/>
    <cellStyle name="Calculation 8 4 2 2" xfId="1485" xr:uid="{00000000-0005-0000-0000-0000B6010000}"/>
    <cellStyle name="Calculation 8 4 3" xfId="1087" xr:uid="{00000000-0005-0000-0000-0000B7010000}"/>
    <cellStyle name="Calculation 8 5" xfId="516" xr:uid="{00000000-0005-0000-0000-0000B8010000}"/>
    <cellStyle name="Calculation 8 5 2" xfId="1343" xr:uid="{00000000-0005-0000-0000-0000B9010000}"/>
    <cellStyle name="Calculation 8 6" xfId="945" xr:uid="{00000000-0005-0000-0000-0000BA010000}"/>
    <cellStyle name="Calculation 9" xfId="174" xr:uid="{00000000-0005-0000-0000-0000BB010000}"/>
    <cellStyle name="Calculation 9 2" xfId="432" xr:uid="{00000000-0005-0000-0000-0000BC010000}"/>
    <cellStyle name="Calculation 9 2 2" xfId="830" xr:uid="{00000000-0005-0000-0000-0000BD010000}"/>
    <cellStyle name="Calculation 9 2 2 2" xfId="1657" xr:uid="{00000000-0005-0000-0000-0000BE010000}"/>
    <cellStyle name="Calculation 9 2 3" xfId="1259" xr:uid="{00000000-0005-0000-0000-0000BF010000}"/>
    <cellStyle name="Calculation 9 3" xfId="318" xr:uid="{00000000-0005-0000-0000-0000C0010000}"/>
    <cellStyle name="Calculation 9 3 2" xfId="716" xr:uid="{00000000-0005-0000-0000-0000C1010000}"/>
    <cellStyle name="Calculation 9 3 2 2" xfId="1543" xr:uid="{00000000-0005-0000-0000-0000C2010000}"/>
    <cellStyle name="Calculation 9 3 3" xfId="1145" xr:uid="{00000000-0005-0000-0000-0000C3010000}"/>
    <cellStyle name="Calculation 9 4" xfId="574" xr:uid="{00000000-0005-0000-0000-0000C4010000}"/>
    <cellStyle name="Calculation 9 4 2" xfId="1401" xr:uid="{00000000-0005-0000-0000-0000C5010000}"/>
    <cellStyle name="Calculation 9 5" xfId="1003" xr:uid="{00000000-0005-0000-0000-0000C6010000}"/>
    <cellStyle name="Check Cell" xfId="40" xr:uid="{00000000-0005-0000-0000-0000C7010000}"/>
    <cellStyle name="Estilo 1" xfId="71" xr:uid="{00000000-0005-0000-0000-0000C8010000}"/>
    <cellStyle name="Euro" xfId="41" xr:uid="{00000000-0005-0000-0000-0000C9010000}"/>
    <cellStyle name="Excel Built-in Normal" xfId="64" xr:uid="{00000000-0005-0000-0000-0000CA010000}"/>
    <cellStyle name="Explanatory Text" xfId="42" xr:uid="{00000000-0005-0000-0000-0000CB010000}"/>
    <cellStyle name="Good" xfId="43" xr:uid="{00000000-0005-0000-0000-0000CC010000}"/>
    <cellStyle name="Heading 1" xfId="44" xr:uid="{00000000-0005-0000-0000-0000CD010000}"/>
    <cellStyle name="Heading 2" xfId="45" xr:uid="{00000000-0005-0000-0000-0000CE010000}"/>
    <cellStyle name="Heading 3" xfId="46" xr:uid="{00000000-0005-0000-0000-0000CF010000}"/>
    <cellStyle name="Heading 4" xfId="47" xr:uid="{00000000-0005-0000-0000-0000D0010000}"/>
    <cellStyle name="Input" xfId="48" xr:uid="{00000000-0005-0000-0000-0000D1010000}"/>
    <cellStyle name="Input 10" xfId="178" xr:uid="{00000000-0005-0000-0000-0000D2010000}"/>
    <cellStyle name="Input 10 2" xfId="435" xr:uid="{00000000-0005-0000-0000-0000D3010000}"/>
    <cellStyle name="Input 10 2 2" xfId="833" xr:uid="{00000000-0005-0000-0000-0000D4010000}"/>
    <cellStyle name="Input 10 2 2 2" xfId="1660" xr:uid="{00000000-0005-0000-0000-0000D5010000}"/>
    <cellStyle name="Input 10 2 3" xfId="1262" xr:uid="{00000000-0005-0000-0000-0000D6010000}"/>
    <cellStyle name="Input 10 3" xfId="321" xr:uid="{00000000-0005-0000-0000-0000D7010000}"/>
    <cellStyle name="Input 10 3 2" xfId="719" xr:uid="{00000000-0005-0000-0000-0000D8010000}"/>
    <cellStyle name="Input 10 3 2 2" xfId="1546" xr:uid="{00000000-0005-0000-0000-0000D9010000}"/>
    <cellStyle name="Input 10 3 3" xfId="1148" xr:uid="{00000000-0005-0000-0000-0000DA010000}"/>
    <cellStyle name="Input 10 4" xfId="577" xr:uid="{00000000-0005-0000-0000-0000DB010000}"/>
    <cellStyle name="Input 10 4 2" xfId="1404" xr:uid="{00000000-0005-0000-0000-0000DC010000}"/>
    <cellStyle name="Input 10 5" xfId="1006" xr:uid="{00000000-0005-0000-0000-0000DD010000}"/>
    <cellStyle name="Input 11" xfId="181" xr:uid="{00000000-0005-0000-0000-0000DE010000}"/>
    <cellStyle name="Input 11 2" xfId="438" xr:uid="{00000000-0005-0000-0000-0000DF010000}"/>
    <cellStyle name="Input 11 2 2" xfId="836" xr:uid="{00000000-0005-0000-0000-0000E0010000}"/>
    <cellStyle name="Input 11 2 2 2" xfId="1663" xr:uid="{00000000-0005-0000-0000-0000E1010000}"/>
    <cellStyle name="Input 11 2 3" xfId="1265" xr:uid="{00000000-0005-0000-0000-0000E2010000}"/>
    <cellStyle name="Input 11 3" xfId="324" xr:uid="{00000000-0005-0000-0000-0000E3010000}"/>
    <cellStyle name="Input 11 3 2" xfId="722" xr:uid="{00000000-0005-0000-0000-0000E4010000}"/>
    <cellStyle name="Input 11 3 2 2" xfId="1549" xr:uid="{00000000-0005-0000-0000-0000E5010000}"/>
    <cellStyle name="Input 11 3 3" xfId="1151" xr:uid="{00000000-0005-0000-0000-0000E6010000}"/>
    <cellStyle name="Input 11 4" xfId="580" xr:uid="{00000000-0005-0000-0000-0000E7010000}"/>
    <cellStyle name="Input 11 4 2" xfId="1407" xr:uid="{00000000-0005-0000-0000-0000E8010000}"/>
    <cellStyle name="Input 11 5" xfId="1009" xr:uid="{00000000-0005-0000-0000-0000E9010000}"/>
    <cellStyle name="Input 12" xfId="226" xr:uid="{00000000-0005-0000-0000-0000EA010000}"/>
    <cellStyle name="Input 12 2" xfId="483" xr:uid="{00000000-0005-0000-0000-0000EB010000}"/>
    <cellStyle name="Input 12 2 2" xfId="881" xr:uid="{00000000-0005-0000-0000-0000EC010000}"/>
    <cellStyle name="Input 12 2 2 2" xfId="1708" xr:uid="{00000000-0005-0000-0000-0000ED010000}"/>
    <cellStyle name="Input 12 2 3" xfId="1310" xr:uid="{00000000-0005-0000-0000-0000EE010000}"/>
    <cellStyle name="Input 12 3" xfId="625" xr:uid="{00000000-0005-0000-0000-0000EF010000}"/>
    <cellStyle name="Input 12 3 2" xfId="1452" xr:uid="{00000000-0005-0000-0000-0000F0010000}"/>
    <cellStyle name="Input 12 4" xfId="1054" xr:uid="{00000000-0005-0000-0000-0000F1010000}"/>
    <cellStyle name="Input 13" xfId="912" xr:uid="{00000000-0005-0000-0000-0000F2010000}"/>
    <cellStyle name="Input 2" xfId="87" xr:uid="{00000000-0005-0000-0000-0000F3010000}"/>
    <cellStyle name="Input 2 2" xfId="95" xr:uid="{00000000-0005-0000-0000-0000F4010000}"/>
    <cellStyle name="Input 2 2 2" xfId="146" xr:uid="{00000000-0005-0000-0000-0000F5010000}"/>
    <cellStyle name="Input 2 2 2 2" xfId="404" xr:uid="{00000000-0005-0000-0000-0000F6010000}"/>
    <cellStyle name="Input 2 2 2 2 2" xfId="802" xr:uid="{00000000-0005-0000-0000-0000F7010000}"/>
    <cellStyle name="Input 2 2 2 2 2 2" xfId="1629" xr:uid="{00000000-0005-0000-0000-0000F8010000}"/>
    <cellStyle name="Input 2 2 2 2 3" xfId="1231" xr:uid="{00000000-0005-0000-0000-0000F9010000}"/>
    <cellStyle name="Input 2 2 2 3" xfId="290" xr:uid="{00000000-0005-0000-0000-0000FA010000}"/>
    <cellStyle name="Input 2 2 2 3 2" xfId="688" xr:uid="{00000000-0005-0000-0000-0000FB010000}"/>
    <cellStyle name="Input 2 2 2 3 2 2" xfId="1515" xr:uid="{00000000-0005-0000-0000-0000FC010000}"/>
    <cellStyle name="Input 2 2 2 3 3" xfId="1117" xr:uid="{00000000-0005-0000-0000-0000FD010000}"/>
    <cellStyle name="Input 2 2 2 4" xfId="546" xr:uid="{00000000-0005-0000-0000-0000FE010000}"/>
    <cellStyle name="Input 2 2 2 4 2" xfId="1373" xr:uid="{00000000-0005-0000-0000-0000FF010000}"/>
    <cellStyle name="Input 2 2 2 5" xfId="975" xr:uid="{00000000-0005-0000-0000-000000020000}"/>
    <cellStyle name="Input 2 2 3" xfId="137" xr:uid="{00000000-0005-0000-0000-000001020000}"/>
    <cellStyle name="Input 2 2 3 2" xfId="395" xr:uid="{00000000-0005-0000-0000-000002020000}"/>
    <cellStyle name="Input 2 2 3 2 2" xfId="793" xr:uid="{00000000-0005-0000-0000-000003020000}"/>
    <cellStyle name="Input 2 2 3 2 2 2" xfId="1620" xr:uid="{00000000-0005-0000-0000-000004020000}"/>
    <cellStyle name="Input 2 2 3 2 3" xfId="1222" xr:uid="{00000000-0005-0000-0000-000005020000}"/>
    <cellStyle name="Input 2 2 3 3" xfId="281" xr:uid="{00000000-0005-0000-0000-000006020000}"/>
    <cellStyle name="Input 2 2 3 3 2" xfId="679" xr:uid="{00000000-0005-0000-0000-000007020000}"/>
    <cellStyle name="Input 2 2 3 3 2 2" xfId="1506" xr:uid="{00000000-0005-0000-0000-000008020000}"/>
    <cellStyle name="Input 2 2 3 3 3" xfId="1108" xr:uid="{00000000-0005-0000-0000-000009020000}"/>
    <cellStyle name="Input 2 2 3 4" xfId="537" xr:uid="{00000000-0005-0000-0000-00000A020000}"/>
    <cellStyle name="Input 2 2 3 4 2" xfId="1364" xr:uid="{00000000-0005-0000-0000-00000B020000}"/>
    <cellStyle name="Input 2 2 3 5" xfId="966" xr:uid="{00000000-0005-0000-0000-00000C020000}"/>
    <cellStyle name="Input 2 2 4" xfId="238" xr:uid="{00000000-0005-0000-0000-00000D020000}"/>
    <cellStyle name="Input 2 2 4 2" xfId="495" xr:uid="{00000000-0005-0000-0000-00000E020000}"/>
    <cellStyle name="Input 2 2 4 2 2" xfId="893" xr:uid="{00000000-0005-0000-0000-00000F020000}"/>
    <cellStyle name="Input 2 2 4 2 2 2" xfId="1720" xr:uid="{00000000-0005-0000-0000-000010020000}"/>
    <cellStyle name="Input 2 2 4 2 3" xfId="1322" xr:uid="{00000000-0005-0000-0000-000011020000}"/>
    <cellStyle name="Input 2 2 4 3" xfId="637" xr:uid="{00000000-0005-0000-0000-000012020000}"/>
    <cellStyle name="Input 2 2 4 3 2" xfId="1464" xr:uid="{00000000-0005-0000-0000-000013020000}"/>
    <cellStyle name="Input 2 2 4 4" xfId="1066" xr:uid="{00000000-0005-0000-0000-000014020000}"/>
    <cellStyle name="Input 2 2 5" xfId="924" xr:uid="{00000000-0005-0000-0000-000015020000}"/>
    <cellStyle name="Input 2 3" xfId="145" xr:uid="{00000000-0005-0000-0000-000016020000}"/>
    <cellStyle name="Input 2 3 2" xfId="403" xr:uid="{00000000-0005-0000-0000-000017020000}"/>
    <cellStyle name="Input 2 3 2 2" xfId="801" xr:uid="{00000000-0005-0000-0000-000018020000}"/>
    <cellStyle name="Input 2 3 2 2 2" xfId="1628" xr:uid="{00000000-0005-0000-0000-000019020000}"/>
    <cellStyle name="Input 2 3 2 3" xfId="1230" xr:uid="{00000000-0005-0000-0000-00001A020000}"/>
    <cellStyle name="Input 2 3 3" xfId="289" xr:uid="{00000000-0005-0000-0000-00001B020000}"/>
    <cellStyle name="Input 2 3 3 2" xfId="687" xr:uid="{00000000-0005-0000-0000-00001C020000}"/>
    <cellStyle name="Input 2 3 3 2 2" xfId="1514" xr:uid="{00000000-0005-0000-0000-00001D020000}"/>
    <cellStyle name="Input 2 3 3 3" xfId="1116" xr:uid="{00000000-0005-0000-0000-00001E020000}"/>
    <cellStyle name="Input 2 3 4" xfId="545" xr:uid="{00000000-0005-0000-0000-00001F020000}"/>
    <cellStyle name="Input 2 3 4 2" xfId="1372" xr:uid="{00000000-0005-0000-0000-000020020000}"/>
    <cellStyle name="Input 2 3 5" xfId="974" xr:uid="{00000000-0005-0000-0000-000021020000}"/>
    <cellStyle name="Input 2 4" xfId="123" xr:uid="{00000000-0005-0000-0000-000022020000}"/>
    <cellStyle name="Input 2 4 2" xfId="381" xr:uid="{00000000-0005-0000-0000-000023020000}"/>
    <cellStyle name="Input 2 4 2 2" xfId="779" xr:uid="{00000000-0005-0000-0000-000024020000}"/>
    <cellStyle name="Input 2 4 2 2 2" xfId="1606" xr:uid="{00000000-0005-0000-0000-000025020000}"/>
    <cellStyle name="Input 2 4 2 3" xfId="1208" xr:uid="{00000000-0005-0000-0000-000026020000}"/>
    <cellStyle name="Input 2 4 3" xfId="267" xr:uid="{00000000-0005-0000-0000-000027020000}"/>
    <cellStyle name="Input 2 4 3 2" xfId="665" xr:uid="{00000000-0005-0000-0000-000028020000}"/>
    <cellStyle name="Input 2 4 3 2 2" xfId="1492" xr:uid="{00000000-0005-0000-0000-000029020000}"/>
    <cellStyle name="Input 2 4 3 3" xfId="1094" xr:uid="{00000000-0005-0000-0000-00002A020000}"/>
    <cellStyle name="Input 2 4 4" xfId="523" xr:uid="{00000000-0005-0000-0000-00002B020000}"/>
    <cellStyle name="Input 2 4 4 2" xfId="1350" xr:uid="{00000000-0005-0000-0000-00002C020000}"/>
    <cellStyle name="Input 2 4 5" xfId="952" xr:uid="{00000000-0005-0000-0000-00002D020000}"/>
    <cellStyle name="Input 2 5" xfId="185" xr:uid="{00000000-0005-0000-0000-00002E020000}"/>
    <cellStyle name="Input 2 5 2" xfId="442" xr:uid="{00000000-0005-0000-0000-00002F020000}"/>
    <cellStyle name="Input 2 5 2 2" xfId="840" xr:uid="{00000000-0005-0000-0000-000030020000}"/>
    <cellStyle name="Input 2 5 2 2 2" xfId="1667" xr:uid="{00000000-0005-0000-0000-000031020000}"/>
    <cellStyle name="Input 2 5 2 3" xfId="1269" xr:uid="{00000000-0005-0000-0000-000032020000}"/>
    <cellStyle name="Input 2 5 3" xfId="328" xr:uid="{00000000-0005-0000-0000-000033020000}"/>
    <cellStyle name="Input 2 5 3 2" xfId="726" xr:uid="{00000000-0005-0000-0000-000034020000}"/>
    <cellStyle name="Input 2 5 3 2 2" xfId="1553" xr:uid="{00000000-0005-0000-0000-000035020000}"/>
    <cellStyle name="Input 2 5 3 3" xfId="1155" xr:uid="{00000000-0005-0000-0000-000036020000}"/>
    <cellStyle name="Input 2 5 4" xfId="584" xr:uid="{00000000-0005-0000-0000-000037020000}"/>
    <cellStyle name="Input 2 5 4 2" xfId="1411" xr:uid="{00000000-0005-0000-0000-000038020000}"/>
    <cellStyle name="Input 2 5 5" xfId="1013" xr:uid="{00000000-0005-0000-0000-000039020000}"/>
    <cellStyle name="Input 2 6" xfId="204" xr:uid="{00000000-0005-0000-0000-00003A020000}"/>
    <cellStyle name="Input 2 6 2" xfId="461" xr:uid="{00000000-0005-0000-0000-00003B020000}"/>
    <cellStyle name="Input 2 6 2 2" xfId="859" xr:uid="{00000000-0005-0000-0000-00003C020000}"/>
    <cellStyle name="Input 2 6 2 2 2" xfId="1686" xr:uid="{00000000-0005-0000-0000-00003D020000}"/>
    <cellStyle name="Input 2 6 2 3" xfId="1288" xr:uid="{00000000-0005-0000-0000-00003E020000}"/>
    <cellStyle name="Input 2 6 3" xfId="347" xr:uid="{00000000-0005-0000-0000-00003F020000}"/>
    <cellStyle name="Input 2 6 3 2" xfId="745" xr:uid="{00000000-0005-0000-0000-000040020000}"/>
    <cellStyle name="Input 2 6 3 2 2" xfId="1572" xr:uid="{00000000-0005-0000-0000-000041020000}"/>
    <cellStyle name="Input 2 6 3 3" xfId="1174" xr:uid="{00000000-0005-0000-0000-000042020000}"/>
    <cellStyle name="Input 2 6 4" xfId="603" xr:uid="{00000000-0005-0000-0000-000043020000}"/>
    <cellStyle name="Input 2 6 4 2" xfId="1430" xr:uid="{00000000-0005-0000-0000-000044020000}"/>
    <cellStyle name="Input 2 6 5" xfId="1032" xr:uid="{00000000-0005-0000-0000-000045020000}"/>
    <cellStyle name="Input 2 7" xfId="231" xr:uid="{00000000-0005-0000-0000-000046020000}"/>
    <cellStyle name="Input 2 7 2" xfId="488" xr:uid="{00000000-0005-0000-0000-000047020000}"/>
    <cellStyle name="Input 2 7 2 2" xfId="886" xr:uid="{00000000-0005-0000-0000-000048020000}"/>
    <cellStyle name="Input 2 7 2 2 2" xfId="1713" xr:uid="{00000000-0005-0000-0000-000049020000}"/>
    <cellStyle name="Input 2 7 2 3" xfId="1315" xr:uid="{00000000-0005-0000-0000-00004A020000}"/>
    <cellStyle name="Input 2 7 3" xfId="630" xr:uid="{00000000-0005-0000-0000-00004B020000}"/>
    <cellStyle name="Input 2 7 3 2" xfId="1457" xr:uid="{00000000-0005-0000-0000-00004C020000}"/>
    <cellStyle name="Input 2 7 4" xfId="1059" xr:uid="{00000000-0005-0000-0000-00004D020000}"/>
    <cellStyle name="Input 2 8" xfId="917" xr:uid="{00000000-0005-0000-0000-00004E020000}"/>
    <cellStyle name="Input 3" xfId="96" xr:uid="{00000000-0005-0000-0000-00004F020000}"/>
    <cellStyle name="Input 3 2" xfId="143" xr:uid="{00000000-0005-0000-0000-000050020000}"/>
    <cellStyle name="Input 3 2 2" xfId="401" xr:uid="{00000000-0005-0000-0000-000051020000}"/>
    <cellStyle name="Input 3 2 2 2" xfId="799" xr:uid="{00000000-0005-0000-0000-000052020000}"/>
    <cellStyle name="Input 3 2 2 2 2" xfId="1626" xr:uid="{00000000-0005-0000-0000-000053020000}"/>
    <cellStyle name="Input 3 2 2 3" xfId="1228" xr:uid="{00000000-0005-0000-0000-000054020000}"/>
    <cellStyle name="Input 3 2 3" xfId="287" xr:uid="{00000000-0005-0000-0000-000055020000}"/>
    <cellStyle name="Input 3 2 3 2" xfId="685" xr:uid="{00000000-0005-0000-0000-000056020000}"/>
    <cellStyle name="Input 3 2 3 2 2" xfId="1512" xr:uid="{00000000-0005-0000-0000-000057020000}"/>
    <cellStyle name="Input 3 2 3 3" xfId="1114" xr:uid="{00000000-0005-0000-0000-000058020000}"/>
    <cellStyle name="Input 3 2 4" xfId="543" xr:uid="{00000000-0005-0000-0000-000059020000}"/>
    <cellStyle name="Input 3 2 4 2" xfId="1370" xr:uid="{00000000-0005-0000-0000-00005A020000}"/>
    <cellStyle name="Input 3 2 5" xfId="972" xr:uid="{00000000-0005-0000-0000-00005B020000}"/>
    <cellStyle name="Input 3 3" xfId="124" xr:uid="{00000000-0005-0000-0000-00005C020000}"/>
    <cellStyle name="Input 3 3 2" xfId="382" xr:uid="{00000000-0005-0000-0000-00005D020000}"/>
    <cellStyle name="Input 3 3 2 2" xfId="780" xr:uid="{00000000-0005-0000-0000-00005E020000}"/>
    <cellStyle name="Input 3 3 2 2 2" xfId="1607" xr:uid="{00000000-0005-0000-0000-00005F020000}"/>
    <cellStyle name="Input 3 3 2 3" xfId="1209" xr:uid="{00000000-0005-0000-0000-000060020000}"/>
    <cellStyle name="Input 3 3 3" xfId="268" xr:uid="{00000000-0005-0000-0000-000061020000}"/>
    <cellStyle name="Input 3 3 3 2" xfId="666" xr:uid="{00000000-0005-0000-0000-000062020000}"/>
    <cellStyle name="Input 3 3 3 2 2" xfId="1493" xr:uid="{00000000-0005-0000-0000-000063020000}"/>
    <cellStyle name="Input 3 3 3 3" xfId="1095" xr:uid="{00000000-0005-0000-0000-000064020000}"/>
    <cellStyle name="Input 3 3 4" xfId="524" xr:uid="{00000000-0005-0000-0000-000065020000}"/>
    <cellStyle name="Input 3 3 4 2" xfId="1351" xr:uid="{00000000-0005-0000-0000-000066020000}"/>
    <cellStyle name="Input 3 3 5" xfId="953" xr:uid="{00000000-0005-0000-0000-000067020000}"/>
    <cellStyle name="Input 3 4" xfId="211" xr:uid="{00000000-0005-0000-0000-000068020000}"/>
    <cellStyle name="Input 3 4 2" xfId="468" xr:uid="{00000000-0005-0000-0000-000069020000}"/>
    <cellStyle name="Input 3 4 2 2" xfId="866" xr:uid="{00000000-0005-0000-0000-00006A020000}"/>
    <cellStyle name="Input 3 4 2 2 2" xfId="1693" xr:uid="{00000000-0005-0000-0000-00006B020000}"/>
    <cellStyle name="Input 3 4 2 3" xfId="1295" xr:uid="{00000000-0005-0000-0000-00006C020000}"/>
    <cellStyle name="Input 3 4 3" xfId="354" xr:uid="{00000000-0005-0000-0000-00006D020000}"/>
    <cellStyle name="Input 3 4 3 2" xfId="752" xr:uid="{00000000-0005-0000-0000-00006E020000}"/>
    <cellStyle name="Input 3 4 3 2 2" xfId="1579" xr:uid="{00000000-0005-0000-0000-00006F020000}"/>
    <cellStyle name="Input 3 4 3 3" xfId="1181" xr:uid="{00000000-0005-0000-0000-000070020000}"/>
    <cellStyle name="Input 3 4 4" xfId="610" xr:uid="{00000000-0005-0000-0000-000071020000}"/>
    <cellStyle name="Input 3 4 4 2" xfId="1437" xr:uid="{00000000-0005-0000-0000-000072020000}"/>
    <cellStyle name="Input 3 4 5" xfId="1039" xr:uid="{00000000-0005-0000-0000-000073020000}"/>
    <cellStyle name="Input 3 5" xfId="202" xr:uid="{00000000-0005-0000-0000-000074020000}"/>
    <cellStyle name="Input 3 5 2" xfId="459" xr:uid="{00000000-0005-0000-0000-000075020000}"/>
    <cellStyle name="Input 3 5 2 2" xfId="857" xr:uid="{00000000-0005-0000-0000-000076020000}"/>
    <cellStyle name="Input 3 5 2 2 2" xfId="1684" xr:uid="{00000000-0005-0000-0000-000077020000}"/>
    <cellStyle name="Input 3 5 2 3" xfId="1286" xr:uid="{00000000-0005-0000-0000-000078020000}"/>
    <cellStyle name="Input 3 5 3" xfId="345" xr:uid="{00000000-0005-0000-0000-000079020000}"/>
    <cellStyle name="Input 3 5 3 2" xfId="743" xr:uid="{00000000-0005-0000-0000-00007A020000}"/>
    <cellStyle name="Input 3 5 3 2 2" xfId="1570" xr:uid="{00000000-0005-0000-0000-00007B020000}"/>
    <cellStyle name="Input 3 5 3 3" xfId="1172" xr:uid="{00000000-0005-0000-0000-00007C020000}"/>
    <cellStyle name="Input 3 5 4" xfId="601" xr:uid="{00000000-0005-0000-0000-00007D020000}"/>
    <cellStyle name="Input 3 5 4 2" xfId="1428" xr:uid="{00000000-0005-0000-0000-00007E020000}"/>
    <cellStyle name="Input 3 5 5" xfId="1030" xr:uid="{00000000-0005-0000-0000-00007F020000}"/>
    <cellStyle name="Input 3 6" xfId="239" xr:uid="{00000000-0005-0000-0000-000080020000}"/>
    <cellStyle name="Input 3 6 2" xfId="496" xr:uid="{00000000-0005-0000-0000-000081020000}"/>
    <cellStyle name="Input 3 6 2 2" xfId="894" xr:uid="{00000000-0005-0000-0000-000082020000}"/>
    <cellStyle name="Input 3 6 2 2 2" xfId="1721" xr:uid="{00000000-0005-0000-0000-000083020000}"/>
    <cellStyle name="Input 3 6 2 3" xfId="1323" xr:uid="{00000000-0005-0000-0000-000084020000}"/>
    <cellStyle name="Input 3 6 3" xfId="638" xr:uid="{00000000-0005-0000-0000-000085020000}"/>
    <cellStyle name="Input 3 6 3 2" xfId="1465" xr:uid="{00000000-0005-0000-0000-000086020000}"/>
    <cellStyle name="Input 3 6 4" xfId="1067" xr:uid="{00000000-0005-0000-0000-000087020000}"/>
    <cellStyle name="Input 3 7" xfId="925" xr:uid="{00000000-0005-0000-0000-000088020000}"/>
    <cellStyle name="Input 4" xfId="105" xr:uid="{00000000-0005-0000-0000-000089020000}"/>
    <cellStyle name="Input 4 2" xfId="159" xr:uid="{00000000-0005-0000-0000-00008A020000}"/>
    <cellStyle name="Input 4 2 2" xfId="417" xr:uid="{00000000-0005-0000-0000-00008B020000}"/>
    <cellStyle name="Input 4 2 2 2" xfId="815" xr:uid="{00000000-0005-0000-0000-00008C020000}"/>
    <cellStyle name="Input 4 2 2 2 2" xfId="1642" xr:uid="{00000000-0005-0000-0000-00008D020000}"/>
    <cellStyle name="Input 4 2 2 3" xfId="1244" xr:uid="{00000000-0005-0000-0000-00008E020000}"/>
    <cellStyle name="Input 4 2 3" xfId="303" xr:uid="{00000000-0005-0000-0000-00008F020000}"/>
    <cellStyle name="Input 4 2 3 2" xfId="701" xr:uid="{00000000-0005-0000-0000-000090020000}"/>
    <cellStyle name="Input 4 2 3 2 2" xfId="1528" xr:uid="{00000000-0005-0000-0000-000091020000}"/>
    <cellStyle name="Input 4 2 3 3" xfId="1130" xr:uid="{00000000-0005-0000-0000-000092020000}"/>
    <cellStyle name="Input 4 2 4" xfId="559" xr:uid="{00000000-0005-0000-0000-000093020000}"/>
    <cellStyle name="Input 4 2 4 2" xfId="1386" xr:uid="{00000000-0005-0000-0000-000094020000}"/>
    <cellStyle name="Input 4 2 5" xfId="988" xr:uid="{00000000-0005-0000-0000-000095020000}"/>
    <cellStyle name="Input 4 3" xfId="133" xr:uid="{00000000-0005-0000-0000-000096020000}"/>
    <cellStyle name="Input 4 3 2" xfId="391" xr:uid="{00000000-0005-0000-0000-000097020000}"/>
    <cellStyle name="Input 4 3 2 2" xfId="789" xr:uid="{00000000-0005-0000-0000-000098020000}"/>
    <cellStyle name="Input 4 3 2 2 2" xfId="1616" xr:uid="{00000000-0005-0000-0000-000099020000}"/>
    <cellStyle name="Input 4 3 2 3" xfId="1218" xr:uid="{00000000-0005-0000-0000-00009A020000}"/>
    <cellStyle name="Input 4 3 3" xfId="277" xr:uid="{00000000-0005-0000-0000-00009B020000}"/>
    <cellStyle name="Input 4 3 3 2" xfId="675" xr:uid="{00000000-0005-0000-0000-00009C020000}"/>
    <cellStyle name="Input 4 3 3 2 2" xfId="1502" xr:uid="{00000000-0005-0000-0000-00009D020000}"/>
    <cellStyle name="Input 4 3 3 3" xfId="1104" xr:uid="{00000000-0005-0000-0000-00009E020000}"/>
    <cellStyle name="Input 4 3 4" xfId="533" xr:uid="{00000000-0005-0000-0000-00009F020000}"/>
    <cellStyle name="Input 4 3 4 2" xfId="1360" xr:uid="{00000000-0005-0000-0000-0000A0020000}"/>
    <cellStyle name="Input 4 3 5" xfId="962" xr:uid="{00000000-0005-0000-0000-0000A1020000}"/>
    <cellStyle name="Input 4 4" xfId="220" xr:uid="{00000000-0005-0000-0000-0000A2020000}"/>
    <cellStyle name="Input 4 4 2" xfId="477" xr:uid="{00000000-0005-0000-0000-0000A3020000}"/>
    <cellStyle name="Input 4 4 2 2" xfId="875" xr:uid="{00000000-0005-0000-0000-0000A4020000}"/>
    <cellStyle name="Input 4 4 2 2 2" xfId="1702" xr:uid="{00000000-0005-0000-0000-0000A5020000}"/>
    <cellStyle name="Input 4 4 2 3" xfId="1304" xr:uid="{00000000-0005-0000-0000-0000A6020000}"/>
    <cellStyle name="Input 4 4 3" xfId="363" xr:uid="{00000000-0005-0000-0000-0000A7020000}"/>
    <cellStyle name="Input 4 4 3 2" xfId="761" xr:uid="{00000000-0005-0000-0000-0000A8020000}"/>
    <cellStyle name="Input 4 4 3 2 2" xfId="1588" xr:uid="{00000000-0005-0000-0000-0000A9020000}"/>
    <cellStyle name="Input 4 4 3 3" xfId="1190" xr:uid="{00000000-0005-0000-0000-0000AA020000}"/>
    <cellStyle name="Input 4 4 4" xfId="619" xr:uid="{00000000-0005-0000-0000-0000AB020000}"/>
    <cellStyle name="Input 4 4 4 2" xfId="1446" xr:uid="{00000000-0005-0000-0000-0000AC020000}"/>
    <cellStyle name="Input 4 4 5" xfId="1048" xr:uid="{00000000-0005-0000-0000-0000AD020000}"/>
    <cellStyle name="Input 4 5" xfId="194" xr:uid="{00000000-0005-0000-0000-0000AE020000}"/>
    <cellStyle name="Input 4 5 2" xfId="451" xr:uid="{00000000-0005-0000-0000-0000AF020000}"/>
    <cellStyle name="Input 4 5 2 2" xfId="849" xr:uid="{00000000-0005-0000-0000-0000B0020000}"/>
    <cellStyle name="Input 4 5 2 2 2" xfId="1676" xr:uid="{00000000-0005-0000-0000-0000B1020000}"/>
    <cellStyle name="Input 4 5 2 3" xfId="1278" xr:uid="{00000000-0005-0000-0000-0000B2020000}"/>
    <cellStyle name="Input 4 5 3" xfId="337" xr:uid="{00000000-0005-0000-0000-0000B3020000}"/>
    <cellStyle name="Input 4 5 3 2" xfId="735" xr:uid="{00000000-0005-0000-0000-0000B4020000}"/>
    <cellStyle name="Input 4 5 3 2 2" xfId="1562" xr:uid="{00000000-0005-0000-0000-0000B5020000}"/>
    <cellStyle name="Input 4 5 3 3" xfId="1164" xr:uid="{00000000-0005-0000-0000-0000B6020000}"/>
    <cellStyle name="Input 4 5 4" xfId="593" xr:uid="{00000000-0005-0000-0000-0000B7020000}"/>
    <cellStyle name="Input 4 5 4 2" xfId="1420" xr:uid="{00000000-0005-0000-0000-0000B8020000}"/>
    <cellStyle name="Input 4 5 5" xfId="1022" xr:uid="{00000000-0005-0000-0000-0000B9020000}"/>
    <cellStyle name="Input 4 6" xfId="248" xr:uid="{00000000-0005-0000-0000-0000BA020000}"/>
    <cellStyle name="Input 4 6 2" xfId="505" xr:uid="{00000000-0005-0000-0000-0000BB020000}"/>
    <cellStyle name="Input 4 6 2 2" xfId="903" xr:uid="{00000000-0005-0000-0000-0000BC020000}"/>
    <cellStyle name="Input 4 6 2 2 2" xfId="1730" xr:uid="{00000000-0005-0000-0000-0000BD020000}"/>
    <cellStyle name="Input 4 6 2 3" xfId="1332" xr:uid="{00000000-0005-0000-0000-0000BE020000}"/>
    <cellStyle name="Input 4 6 3" xfId="647" xr:uid="{00000000-0005-0000-0000-0000BF020000}"/>
    <cellStyle name="Input 4 6 3 2" xfId="1474" xr:uid="{00000000-0005-0000-0000-0000C0020000}"/>
    <cellStyle name="Input 4 6 4" xfId="1076" xr:uid="{00000000-0005-0000-0000-0000C1020000}"/>
    <cellStyle name="Input 4 7" xfId="934" xr:uid="{00000000-0005-0000-0000-0000C2020000}"/>
    <cellStyle name="Input 5" xfId="103" xr:uid="{00000000-0005-0000-0000-0000C3020000}"/>
    <cellStyle name="Input 5 2" xfId="157" xr:uid="{00000000-0005-0000-0000-0000C4020000}"/>
    <cellStyle name="Input 5 2 2" xfId="415" xr:uid="{00000000-0005-0000-0000-0000C5020000}"/>
    <cellStyle name="Input 5 2 2 2" xfId="813" xr:uid="{00000000-0005-0000-0000-0000C6020000}"/>
    <cellStyle name="Input 5 2 2 2 2" xfId="1640" xr:uid="{00000000-0005-0000-0000-0000C7020000}"/>
    <cellStyle name="Input 5 2 2 3" xfId="1242" xr:uid="{00000000-0005-0000-0000-0000C8020000}"/>
    <cellStyle name="Input 5 2 3" xfId="301" xr:uid="{00000000-0005-0000-0000-0000C9020000}"/>
    <cellStyle name="Input 5 2 3 2" xfId="699" xr:uid="{00000000-0005-0000-0000-0000CA020000}"/>
    <cellStyle name="Input 5 2 3 2 2" xfId="1526" xr:uid="{00000000-0005-0000-0000-0000CB020000}"/>
    <cellStyle name="Input 5 2 3 3" xfId="1128" xr:uid="{00000000-0005-0000-0000-0000CC020000}"/>
    <cellStyle name="Input 5 2 4" xfId="557" xr:uid="{00000000-0005-0000-0000-0000CD020000}"/>
    <cellStyle name="Input 5 2 4 2" xfId="1384" xr:uid="{00000000-0005-0000-0000-0000CE020000}"/>
    <cellStyle name="Input 5 2 5" xfId="986" xr:uid="{00000000-0005-0000-0000-0000CF020000}"/>
    <cellStyle name="Input 5 3" xfId="131" xr:uid="{00000000-0005-0000-0000-0000D0020000}"/>
    <cellStyle name="Input 5 3 2" xfId="389" xr:uid="{00000000-0005-0000-0000-0000D1020000}"/>
    <cellStyle name="Input 5 3 2 2" xfId="787" xr:uid="{00000000-0005-0000-0000-0000D2020000}"/>
    <cellStyle name="Input 5 3 2 2 2" xfId="1614" xr:uid="{00000000-0005-0000-0000-0000D3020000}"/>
    <cellStyle name="Input 5 3 2 3" xfId="1216" xr:uid="{00000000-0005-0000-0000-0000D4020000}"/>
    <cellStyle name="Input 5 3 3" xfId="275" xr:uid="{00000000-0005-0000-0000-0000D5020000}"/>
    <cellStyle name="Input 5 3 3 2" xfId="673" xr:uid="{00000000-0005-0000-0000-0000D6020000}"/>
    <cellStyle name="Input 5 3 3 2 2" xfId="1500" xr:uid="{00000000-0005-0000-0000-0000D7020000}"/>
    <cellStyle name="Input 5 3 3 3" xfId="1102" xr:uid="{00000000-0005-0000-0000-0000D8020000}"/>
    <cellStyle name="Input 5 3 4" xfId="531" xr:uid="{00000000-0005-0000-0000-0000D9020000}"/>
    <cellStyle name="Input 5 3 4 2" xfId="1358" xr:uid="{00000000-0005-0000-0000-0000DA020000}"/>
    <cellStyle name="Input 5 3 5" xfId="960" xr:uid="{00000000-0005-0000-0000-0000DB020000}"/>
    <cellStyle name="Input 5 4" xfId="218" xr:uid="{00000000-0005-0000-0000-0000DC020000}"/>
    <cellStyle name="Input 5 4 2" xfId="475" xr:uid="{00000000-0005-0000-0000-0000DD020000}"/>
    <cellStyle name="Input 5 4 2 2" xfId="873" xr:uid="{00000000-0005-0000-0000-0000DE020000}"/>
    <cellStyle name="Input 5 4 2 2 2" xfId="1700" xr:uid="{00000000-0005-0000-0000-0000DF020000}"/>
    <cellStyle name="Input 5 4 2 3" xfId="1302" xr:uid="{00000000-0005-0000-0000-0000E0020000}"/>
    <cellStyle name="Input 5 4 3" xfId="361" xr:uid="{00000000-0005-0000-0000-0000E1020000}"/>
    <cellStyle name="Input 5 4 3 2" xfId="759" xr:uid="{00000000-0005-0000-0000-0000E2020000}"/>
    <cellStyle name="Input 5 4 3 2 2" xfId="1586" xr:uid="{00000000-0005-0000-0000-0000E3020000}"/>
    <cellStyle name="Input 5 4 3 3" xfId="1188" xr:uid="{00000000-0005-0000-0000-0000E4020000}"/>
    <cellStyle name="Input 5 4 4" xfId="617" xr:uid="{00000000-0005-0000-0000-0000E5020000}"/>
    <cellStyle name="Input 5 4 4 2" xfId="1444" xr:uid="{00000000-0005-0000-0000-0000E6020000}"/>
    <cellStyle name="Input 5 4 5" xfId="1046" xr:uid="{00000000-0005-0000-0000-0000E7020000}"/>
    <cellStyle name="Input 5 5" xfId="214" xr:uid="{00000000-0005-0000-0000-0000E8020000}"/>
    <cellStyle name="Input 5 5 2" xfId="471" xr:uid="{00000000-0005-0000-0000-0000E9020000}"/>
    <cellStyle name="Input 5 5 2 2" xfId="869" xr:uid="{00000000-0005-0000-0000-0000EA020000}"/>
    <cellStyle name="Input 5 5 2 2 2" xfId="1696" xr:uid="{00000000-0005-0000-0000-0000EB020000}"/>
    <cellStyle name="Input 5 5 2 3" xfId="1298" xr:uid="{00000000-0005-0000-0000-0000EC020000}"/>
    <cellStyle name="Input 5 5 3" xfId="357" xr:uid="{00000000-0005-0000-0000-0000ED020000}"/>
    <cellStyle name="Input 5 5 3 2" xfId="755" xr:uid="{00000000-0005-0000-0000-0000EE020000}"/>
    <cellStyle name="Input 5 5 3 2 2" xfId="1582" xr:uid="{00000000-0005-0000-0000-0000EF020000}"/>
    <cellStyle name="Input 5 5 3 3" xfId="1184" xr:uid="{00000000-0005-0000-0000-0000F0020000}"/>
    <cellStyle name="Input 5 5 4" xfId="613" xr:uid="{00000000-0005-0000-0000-0000F1020000}"/>
    <cellStyle name="Input 5 5 4 2" xfId="1440" xr:uid="{00000000-0005-0000-0000-0000F2020000}"/>
    <cellStyle name="Input 5 5 5" xfId="1042" xr:uid="{00000000-0005-0000-0000-0000F3020000}"/>
    <cellStyle name="Input 5 6" xfId="246" xr:uid="{00000000-0005-0000-0000-0000F4020000}"/>
    <cellStyle name="Input 5 6 2" xfId="503" xr:uid="{00000000-0005-0000-0000-0000F5020000}"/>
    <cellStyle name="Input 5 6 2 2" xfId="901" xr:uid="{00000000-0005-0000-0000-0000F6020000}"/>
    <cellStyle name="Input 5 6 2 2 2" xfId="1728" xr:uid="{00000000-0005-0000-0000-0000F7020000}"/>
    <cellStyle name="Input 5 6 2 3" xfId="1330" xr:uid="{00000000-0005-0000-0000-0000F8020000}"/>
    <cellStyle name="Input 5 6 3" xfId="645" xr:uid="{00000000-0005-0000-0000-0000F9020000}"/>
    <cellStyle name="Input 5 6 3 2" xfId="1472" xr:uid="{00000000-0005-0000-0000-0000FA020000}"/>
    <cellStyle name="Input 5 6 4" xfId="1074" xr:uid="{00000000-0005-0000-0000-0000FB020000}"/>
    <cellStyle name="Input 5 7" xfId="932" xr:uid="{00000000-0005-0000-0000-0000FC020000}"/>
    <cellStyle name="Input 6" xfId="108" xr:uid="{00000000-0005-0000-0000-0000FD020000}"/>
    <cellStyle name="Input 6 2" xfId="162" xr:uid="{00000000-0005-0000-0000-0000FE020000}"/>
    <cellStyle name="Input 6 2 2" xfId="420" xr:uid="{00000000-0005-0000-0000-0000FF020000}"/>
    <cellStyle name="Input 6 2 2 2" xfId="818" xr:uid="{00000000-0005-0000-0000-000000030000}"/>
    <cellStyle name="Input 6 2 2 2 2" xfId="1645" xr:uid="{00000000-0005-0000-0000-000001030000}"/>
    <cellStyle name="Input 6 2 2 3" xfId="1247" xr:uid="{00000000-0005-0000-0000-000002030000}"/>
    <cellStyle name="Input 6 2 3" xfId="306" xr:uid="{00000000-0005-0000-0000-000003030000}"/>
    <cellStyle name="Input 6 2 3 2" xfId="704" xr:uid="{00000000-0005-0000-0000-000004030000}"/>
    <cellStyle name="Input 6 2 3 2 2" xfId="1531" xr:uid="{00000000-0005-0000-0000-000005030000}"/>
    <cellStyle name="Input 6 2 3 3" xfId="1133" xr:uid="{00000000-0005-0000-0000-000006030000}"/>
    <cellStyle name="Input 6 2 4" xfId="562" xr:uid="{00000000-0005-0000-0000-000007030000}"/>
    <cellStyle name="Input 6 2 4 2" xfId="1389" xr:uid="{00000000-0005-0000-0000-000008030000}"/>
    <cellStyle name="Input 6 2 5" xfId="991" xr:uid="{00000000-0005-0000-0000-000009030000}"/>
    <cellStyle name="Input 6 3" xfId="136" xr:uid="{00000000-0005-0000-0000-00000A030000}"/>
    <cellStyle name="Input 6 3 2" xfId="394" xr:uid="{00000000-0005-0000-0000-00000B030000}"/>
    <cellStyle name="Input 6 3 2 2" xfId="792" xr:uid="{00000000-0005-0000-0000-00000C030000}"/>
    <cellStyle name="Input 6 3 2 2 2" xfId="1619" xr:uid="{00000000-0005-0000-0000-00000D030000}"/>
    <cellStyle name="Input 6 3 2 3" xfId="1221" xr:uid="{00000000-0005-0000-0000-00000E030000}"/>
    <cellStyle name="Input 6 3 3" xfId="280" xr:uid="{00000000-0005-0000-0000-00000F030000}"/>
    <cellStyle name="Input 6 3 3 2" xfId="678" xr:uid="{00000000-0005-0000-0000-000010030000}"/>
    <cellStyle name="Input 6 3 3 2 2" xfId="1505" xr:uid="{00000000-0005-0000-0000-000011030000}"/>
    <cellStyle name="Input 6 3 3 3" xfId="1107" xr:uid="{00000000-0005-0000-0000-000012030000}"/>
    <cellStyle name="Input 6 3 4" xfId="536" xr:uid="{00000000-0005-0000-0000-000013030000}"/>
    <cellStyle name="Input 6 3 4 2" xfId="1363" xr:uid="{00000000-0005-0000-0000-000014030000}"/>
    <cellStyle name="Input 6 3 5" xfId="965" xr:uid="{00000000-0005-0000-0000-000015030000}"/>
    <cellStyle name="Input 6 4" xfId="223" xr:uid="{00000000-0005-0000-0000-000016030000}"/>
    <cellStyle name="Input 6 4 2" xfId="480" xr:uid="{00000000-0005-0000-0000-000017030000}"/>
    <cellStyle name="Input 6 4 2 2" xfId="878" xr:uid="{00000000-0005-0000-0000-000018030000}"/>
    <cellStyle name="Input 6 4 2 2 2" xfId="1705" xr:uid="{00000000-0005-0000-0000-000019030000}"/>
    <cellStyle name="Input 6 4 2 3" xfId="1307" xr:uid="{00000000-0005-0000-0000-00001A030000}"/>
    <cellStyle name="Input 6 4 3" xfId="366" xr:uid="{00000000-0005-0000-0000-00001B030000}"/>
    <cellStyle name="Input 6 4 3 2" xfId="764" xr:uid="{00000000-0005-0000-0000-00001C030000}"/>
    <cellStyle name="Input 6 4 3 2 2" xfId="1591" xr:uid="{00000000-0005-0000-0000-00001D030000}"/>
    <cellStyle name="Input 6 4 3 3" xfId="1193" xr:uid="{00000000-0005-0000-0000-00001E030000}"/>
    <cellStyle name="Input 6 4 4" xfId="622" xr:uid="{00000000-0005-0000-0000-00001F030000}"/>
    <cellStyle name="Input 6 4 4 2" xfId="1449" xr:uid="{00000000-0005-0000-0000-000020030000}"/>
    <cellStyle name="Input 6 4 5" xfId="1051" xr:uid="{00000000-0005-0000-0000-000021030000}"/>
    <cellStyle name="Input 6 5" xfId="192" xr:uid="{00000000-0005-0000-0000-000022030000}"/>
    <cellStyle name="Input 6 5 2" xfId="449" xr:uid="{00000000-0005-0000-0000-000023030000}"/>
    <cellStyle name="Input 6 5 2 2" xfId="847" xr:uid="{00000000-0005-0000-0000-000024030000}"/>
    <cellStyle name="Input 6 5 2 2 2" xfId="1674" xr:uid="{00000000-0005-0000-0000-000025030000}"/>
    <cellStyle name="Input 6 5 2 3" xfId="1276" xr:uid="{00000000-0005-0000-0000-000026030000}"/>
    <cellStyle name="Input 6 5 3" xfId="335" xr:uid="{00000000-0005-0000-0000-000027030000}"/>
    <cellStyle name="Input 6 5 3 2" xfId="733" xr:uid="{00000000-0005-0000-0000-000028030000}"/>
    <cellStyle name="Input 6 5 3 2 2" xfId="1560" xr:uid="{00000000-0005-0000-0000-000029030000}"/>
    <cellStyle name="Input 6 5 3 3" xfId="1162" xr:uid="{00000000-0005-0000-0000-00002A030000}"/>
    <cellStyle name="Input 6 5 4" xfId="591" xr:uid="{00000000-0005-0000-0000-00002B030000}"/>
    <cellStyle name="Input 6 5 4 2" xfId="1418" xr:uid="{00000000-0005-0000-0000-00002C030000}"/>
    <cellStyle name="Input 6 5 5" xfId="1020" xr:uid="{00000000-0005-0000-0000-00002D030000}"/>
    <cellStyle name="Input 6 6" xfId="251" xr:uid="{00000000-0005-0000-0000-00002E030000}"/>
    <cellStyle name="Input 6 6 2" xfId="508" xr:uid="{00000000-0005-0000-0000-00002F030000}"/>
    <cellStyle name="Input 6 6 2 2" xfId="906" xr:uid="{00000000-0005-0000-0000-000030030000}"/>
    <cellStyle name="Input 6 6 2 2 2" xfId="1733" xr:uid="{00000000-0005-0000-0000-000031030000}"/>
    <cellStyle name="Input 6 6 2 3" xfId="1335" xr:uid="{00000000-0005-0000-0000-000032030000}"/>
    <cellStyle name="Input 6 6 3" xfId="650" xr:uid="{00000000-0005-0000-0000-000033030000}"/>
    <cellStyle name="Input 6 6 3 2" xfId="1477" xr:uid="{00000000-0005-0000-0000-000034030000}"/>
    <cellStyle name="Input 6 6 4" xfId="1079" xr:uid="{00000000-0005-0000-0000-000035030000}"/>
    <cellStyle name="Input 6 7" xfId="937" xr:uid="{00000000-0005-0000-0000-000036030000}"/>
    <cellStyle name="Input 7" xfId="112" xr:uid="{00000000-0005-0000-0000-000037030000}"/>
    <cellStyle name="Input 7 2" xfId="166" xr:uid="{00000000-0005-0000-0000-000038030000}"/>
    <cellStyle name="Input 7 2 2" xfId="424" xr:uid="{00000000-0005-0000-0000-000039030000}"/>
    <cellStyle name="Input 7 2 2 2" xfId="822" xr:uid="{00000000-0005-0000-0000-00003A030000}"/>
    <cellStyle name="Input 7 2 2 2 2" xfId="1649" xr:uid="{00000000-0005-0000-0000-00003B030000}"/>
    <cellStyle name="Input 7 2 2 3" xfId="1251" xr:uid="{00000000-0005-0000-0000-00003C030000}"/>
    <cellStyle name="Input 7 2 3" xfId="310" xr:uid="{00000000-0005-0000-0000-00003D030000}"/>
    <cellStyle name="Input 7 2 3 2" xfId="708" xr:uid="{00000000-0005-0000-0000-00003E030000}"/>
    <cellStyle name="Input 7 2 3 2 2" xfId="1535" xr:uid="{00000000-0005-0000-0000-00003F030000}"/>
    <cellStyle name="Input 7 2 3 3" xfId="1137" xr:uid="{00000000-0005-0000-0000-000040030000}"/>
    <cellStyle name="Input 7 2 4" xfId="566" xr:uid="{00000000-0005-0000-0000-000041030000}"/>
    <cellStyle name="Input 7 2 4 2" xfId="1393" xr:uid="{00000000-0005-0000-0000-000042030000}"/>
    <cellStyle name="Input 7 2 5" xfId="995" xr:uid="{00000000-0005-0000-0000-000043030000}"/>
    <cellStyle name="Input 7 3" xfId="154" xr:uid="{00000000-0005-0000-0000-000044030000}"/>
    <cellStyle name="Input 7 3 2" xfId="412" xr:uid="{00000000-0005-0000-0000-000045030000}"/>
    <cellStyle name="Input 7 3 2 2" xfId="810" xr:uid="{00000000-0005-0000-0000-000046030000}"/>
    <cellStyle name="Input 7 3 2 2 2" xfId="1637" xr:uid="{00000000-0005-0000-0000-000047030000}"/>
    <cellStyle name="Input 7 3 2 3" xfId="1239" xr:uid="{00000000-0005-0000-0000-000048030000}"/>
    <cellStyle name="Input 7 3 3" xfId="298" xr:uid="{00000000-0005-0000-0000-000049030000}"/>
    <cellStyle name="Input 7 3 3 2" xfId="696" xr:uid="{00000000-0005-0000-0000-00004A030000}"/>
    <cellStyle name="Input 7 3 3 2 2" xfId="1523" xr:uid="{00000000-0005-0000-0000-00004B030000}"/>
    <cellStyle name="Input 7 3 3 3" xfId="1125" xr:uid="{00000000-0005-0000-0000-00004C030000}"/>
    <cellStyle name="Input 7 3 4" xfId="554" xr:uid="{00000000-0005-0000-0000-00004D030000}"/>
    <cellStyle name="Input 7 3 4 2" xfId="1381" xr:uid="{00000000-0005-0000-0000-00004E030000}"/>
    <cellStyle name="Input 7 3 5" xfId="983" xr:uid="{00000000-0005-0000-0000-00004F030000}"/>
    <cellStyle name="Input 7 4" xfId="370" xr:uid="{00000000-0005-0000-0000-000050030000}"/>
    <cellStyle name="Input 7 4 2" xfId="768" xr:uid="{00000000-0005-0000-0000-000051030000}"/>
    <cellStyle name="Input 7 4 2 2" xfId="1595" xr:uid="{00000000-0005-0000-0000-000052030000}"/>
    <cellStyle name="Input 7 4 3" xfId="1197" xr:uid="{00000000-0005-0000-0000-000053030000}"/>
    <cellStyle name="Input 7 5" xfId="256" xr:uid="{00000000-0005-0000-0000-000054030000}"/>
    <cellStyle name="Input 7 5 2" xfId="654" xr:uid="{00000000-0005-0000-0000-000055030000}"/>
    <cellStyle name="Input 7 5 2 2" xfId="1481" xr:uid="{00000000-0005-0000-0000-000056030000}"/>
    <cellStyle name="Input 7 5 3" xfId="1083" xr:uid="{00000000-0005-0000-0000-000057030000}"/>
    <cellStyle name="Input 7 6" xfId="512" xr:uid="{00000000-0005-0000-0000-000058030000}"/>
    <cellStyle name="Input 7 6 2" xfId="1339" xr:uid="{00000000-0005-0000-0000-000059030000}"/>
    <cellStyle name="Input 7 7" xfId="941" xr:uid="{00000000-0005-0000-0000-00005A030000}"/>
    <cellStyle name="Input 8" xfId="113" xr:uid="{00000000-0005-0000-0000-00005B030000}"/>
    <cellStyle name="Input 8 2" xfId="167" xr:uid="{00000000-0005-0000-0000-00005C030000}"/>
    <cellStyle name="Input 8 2 2" xfId="425" xr:uid="{00000000-0005-0000-0000-00005D030000}"/>
    <cellStyle name="Input 8 2 2 2" xfId="823" xr:uid="{00000000-0005-0000-0000-00005E030000}"/>
    <cellStyle name="Input 8 2 2 2 2" xfId="1650" xr:uid="{00000000-0005-0000-0000-00005F030000}"/>
    <cellStyle name="Input 8 2 2 3" xfId="1252" xr:uid="{00000000-0005-0000-0000-000060030000}"/>
    <cellStyle name="Input 8 2 3" xfId="311" xr:uid="{00000000-0005-0000-0000-000061030000}"/>
    <cellStyle name="Input 8 2 3 2" xfId="709" xr:uid="{00000000-0005-0000-0000-000062030000}"/>
    <cellStyle name="Input 8 2 3 2 2" xfId="1536" xr:uid="{00000000-0005-0000-0000-000063030000}"/>
    <cellStyle name="Input 8 2 3 3" xfId="1138" xr:uid="{00000000-0005-0000-0000-000064030000}"/>
    <cellStyle name="Input 8 2 4" xfId="567" xr:uid="{00000000-0005-0000-0000-000065030000}"/>
    <cellStyle name="Input 8 2 4 2" xfId="1394" xr:uid="{00000000-0005-0000-0000-000066030000}"/>
    <cellStyle name="Input 8 2 5" xfId="996" xr:uid="{00000000-0005-0000-0000-000067030000}"/>
    <cellStyle name="Input 8 3" xfId="371" xr:uid="{00000000-0005-0000-0000-000068030000}"/>
    <cellStyle name="Input 8 3 2" xfId="769" xr:uid="{00000000-0005-0000-0000-000069030000}"/>
    <cellStyle name="Input 8 3 2 2" xfId="1596" xr:uid="{00000000-0005-0000-0000-00006A030000}"/>
    <cellStyle name="Input 8 3 3" xfId="1198" xr:uid="{00000000-0005-0000-0000-00006B030000}"/>
    <cellStyle name="Input 8 4" xfId="257" xr:uid="{00000000-0005-0000-0000-00006C030000}"/>
    <cellStyle name="Input 8 4 2" xfId="655" xr:uid="{00000000-0005-0000-0000-00006D030000}"/>
    <cellStyle name="Input 8 4 2 2" xfId="1482" xr:uid="{00000000-0005-0000-0000-00006E030000}"/>
    <cellStyle name="Input 8 4 3" xfId="1084" xr:uid="{00000000-0005-0000-0000-00006F030000}"/>
    <cellStyle name="Input 8 5" xfId="513" xr:uid="{00000000-0005-0000-0000-000070030000}"/>
    <cellStyle name="Input 8 5 2" xfId="1340" xr:uid="{00000000-0005-0000-0000-000071030000}"/>
    <cellStyle name="Input 8 6" xfId="942" xr:uid="{00000000-0005-0000-0000-000072030000}"/>
    <cellStyle name="Input 9" xfId="173" xr:uid="{00000000-0005-0000-0000-000073030000}"/>
    <cellStyle name="Input 9 2" xfId="431" xr:uid="{00000000-0005-0000-0000-000074030000}"/>
    <cellStyle name="Input 9 2 2" xfId="829" xr:uid="{00000000-0005-0000-0000-000075030000}"/>
    <cellStyle name="Input 9 2 2 2" xfId="1656" xr:uid="{00000000-0005-0000-0000-000076030000}"/>
    <cellStyle name="Input 9 2 3" xfId="1258" xr:uid="{00000000-0005-0000-0000-000077030000}"/>
    <cellStyle name="Input 9 3" xfId="317" xr:uid="{00000000-0005-0000-0000-000078030000}"/>
    <cellStyle name="Input 9 3 2" xfId="715" xr:uid="{00000000-0005-0000-0000-000079030000}"/>
    <cellStyle name="Input 9 3 2 2" xfId="1542" xr:uid="{00000000-0005-0000-0000-00007A030000}"/>
    <cellStyle name="Input 9 3 3" xfId="1144" xr:uid="{00000000-0005-0000-0000-00007B030000}"/>
    <cellStyle name="Input 9 4" xfId="573" xr:uid="{00000000-0005-0000-0000-00007C030000}"/>
    <cellStyle name="Input 9 4 2" xfId="1400" xr:uid="{00000000-0005-0000-0000-00007D030000}"/>
    <cellStyle name="Input 9 5" xfId="1002" xr:uid="{00000000-0005-0000-0000-00007E030000}"/>
    <cellStyle name="Linked Cell" xfId="49" xr:uid="{00000000-0005-0000-0000-00007F030000}"/>
    <cellStyle name="Millares" xfId="1734" builtinId="3"/>
    <cellStyle name="Millares 2" xfId="50" xr:uid="{00000000-0005-0000-0000-000081030000}"/>
    <cellStyle name="Millares 2 2" xfId="3" xr:uid="{00000000-0005-0000-0000-000082030000}"/>
    <cellStyle name="Millares 2 2 2" xfId="11" xr:uid="{00000000-0005-0000-0000-000083030000}"/>
    <cellStyle name="Millares 2 3" xfId="907" xr:uid="{00000000-0005-0000-0000-000084030000}"/>
    <cellStyle name="Millares 3" xfId="51" xr:uid="{00000000-0005-0000-0000-000085030000}"/>
    <cellStyle name="Millares 3 2" xfId="73" xr:uid="{00000000-0005-0000-0000-000086030000}"/>
    <cellStyle name="Millares 4" xfId="80" xr:uid="{00000000-0005-0000-0000-000087030000}"/>
    <cellStyle name="Millares 5" xfId="78" xr:uid="{00000000-0005-0000-0000-000088030000}"/>
    <cellStyle name="Millares 6" xfId="81" xr:uid="{00000000-0005-0000-0000-000089030000}"/>
    <cellStyle name="Millares 7" xfId="12" xr:uid="{00000000-0005-0000-0000-00008A030000}"/>
    <cellStyle name="Millares 8" xfId="5" xr:uid="{00000000-0005-0000-0000-00008B030000}"/>
    <cellStyle name="Moneda" xfId="1737" builtinId="4"/>
    <cellStyle name="Moneda [0]" xfId="1735" builtinId="7"/>
    <cellStyle name="Moneda 2" xfId="2" xr:uid="{00000000-0005-0000-0000-00008E030000}"/>
    <cellStyle name="Moneda 2 2" xfId="68" xr:uid="{00000000-0005-0000-0000-00008F030000}"/>
    <cellStyle name="Moneda 2 3" xfId="52" xr:uid="{00000000-0005-0000-0000-000090030000}"/>
    <cellStyle name="Moneda 3" xfId="10" xr:uid="{00000000-0005-0000-0000-000091030000}"/>
    <cellStyle name="Moneda 4" xfId="7" xr:uid="{00000000-0005-0000-0000-000092030000}"/>
    <cellStyle name="Moneda 5" xfId="85" xr:uid="{00000000-0005-0000-0000-000093030000}"/>
    <cellStyle name="Moneda 6" xfId="175" xr:uid="{00000000-0005-0000-0000-000094030000}"/>
    <cellStyle name="Moneda 7" xfId="4" xr:uid="{00000000-0005-0000-0000-000095030000}"/>
    <cellStyle name="Moneda 8" xfId="1738" xr:uid="{E869AAC0-AA9E-40F4-9416-97D062F55B18}"/>
    <cellStyle name="Normal" xfId="0" builtinId="0"/>
    <cellStyle name="Normal 10" xfId="82" xr:uid="{00000000-0005-0000-0000-000097030000}"/>
    <cellStyle name="Normal 10 2" xfId="252" xr:uid="{00000000-0005-0000-0000-000098030000}"/>
    <cellStyle name="Normal 11" xfId="83" xr:uid="{00000000-0005-0000-0000-000099030000}"/>
    <cellStyle name="Normal 14" xfId="8" xr:uid="{00000000-0005-0000-0000-00009A030000}"/>
    <cellStyle name="Normal 2" xfId="1" xr:uid="{00000000-0005-0000-0000-00009B030000}"/>
    <cellStyle name="Normal 2 2" xfId="74" xr:uid="{00000000-0005-0000-0000-00009C030000}"/>
    <cellStyle name="Normal 2 2 2" xfId="88" xr:uid="{00000000-0005-0000-0000-00009D030000}"/>
    <cellStyle name="Normal 2 3" xfId="61" xr:uid="{00000000-0005-0000-0000-00009E030000}"/>
    <cellStyle name="Normal 2 4" xfId="9" xr:uid="{00000000-0005-0000-0000-00009F030000}"/>
    <cellStyle name="Normal 3" xfId="53" xr:uid="{00000000-0005-0000-0000-0000A0030000}"/>
    <cellStyle name="Normal 3 2" xfId="6" xr:uid="{00000000-0005-0000-0000-0000A1030000}"/>
    <cellStyle name="Normal 3 3" xfId="63" xr:uid="{00000000-0005-0000-0000-0000A2030000}"/>
    <cellStyle name="Normal 4" xfId="54" xr:uid="{00000000-0005-0000-0000-0000A3030000}"/>
    <cellStyle name="Normal 4 2" xfId="67" xr:uid="{00000000-0005-0000-0000-0000A4030000}"/>
    <cellStyle name="Normal 5" xfId="55" xr:uid="{00000000-0005-0000-0000-0000A5030000}"/>
    <cellStyle name="Normal 5 2" xfId="69" xr:uid="{00000000-0005-0000-0000-0000A6030000}"/>
    <cellStyle name="Normal 6" xfId="72" xr:uid="{00000000-0005-0000-0000-0000A7030000}"/>
    <cellStyle name="Normal 6 2" xfId="79" xr:uid="{00000000-0005-0000-0000-0000A8030000}"/>
    <cellStyle name="Normal 7" xfId="76" xr:uid="{00000000-0005-0000-0000-0000A9030000}"/>
    <cellStyle name="Normal 8" xfId="65" xr:uid="{00000000-0005-0000-0000-0000AA030000}"/>
    <cellStyle name="Normal 9" xfId="77" xr:uid="{00000000-0005-0000-0000-0000AB030000}"/>
    <cellStyle name="Notas 2" xfId="84" xr:uid="{00000000-0005-0000-0000-0000AC030000}"/>
    <cellStyle name="Note" xfId="56" xr:uid="{00000000-0005-0000-0000-0000AD030000}"/>
    <cellStyle name="Note 10" xfId="177" xr:uid="{00000000-0005-0000-0000-0000AE030000}"/>
    <cellStyle name="Note 10 2" xfId="434" xr:uid="{00000000-0005-0000-0000-0000AF030000}"/>
    <cellStyle name="Note 10 2 2" xfId="832" xr:uid="{00000000-0005-0000-0000-0000B0030000}"/>
    <cellStyle name="Note 10 2 2 2" xfId="1659" xr:uid="{00000000-0005-0000-0000-0000B1030000}"/>
    <cellStyle name="Note 10 2 3" xfId="1261" xr:uid="{00000000-0005-0000-0000-0000B2030000}"/>
    <cellStyle name="Note 10 3" xfId="320" xr:uid="{00000000-0005-0000-0000-0000B3030000}"/>
    <cellStyle name="Note 10 3 2" xfId="718" xr:uid="{00000000-0005-0000-0000-0000B4030000}"/>
    <cellStyle name="Note 10 3 2 2" xfId="1545" xr:uid="{00000000-0005-0000-0000-0000B5030000}"/>
    <cellStyle name="Note 10 3 3" xfId="1147" xr:uid="{00000000-0005-0000-0000-0000B6030000}"/>
    <cellStyle name="Note 10 4" xfId="576" xr:uid="{00000000-0005-0000-0000-0000B7030000}"/>
    <cellStyle name="Note 10 4 2" xfId="1403" xr:uid="{00000000-0005-0000-0000-0000B8030000}"/>
    <cellStyle name="Note 10 5" xfId="1005" xr:uid="{00000000-0005-0000-0000-0000B9030000}"/>
    <cellStyle name="Note 11" xfId="182" xr:uid="{00000000-0005-0000-0000-0000BA030000}"/>
    <cellStyle name="Note 11 2" xfId="439" xr:uid="{00000000-0005-0000-0000-0000BB030000}"/>
    <cellStyle name="Note 11 2 2" xfId="837" xr:uid="{00000000-0005-0000-0000-0000BC030000}"/>
    <cellStyle name="Note 11 2 2 2" xfId="1664" xr:uid="{00000000-0005-0000-0000-0000BD030000}"/>
    <cellStyle name="Note 11 2 3" xfId="1266" xr:uid="{00000000-0005-0000-0000-0000BE030000}"/>
    <cellStyle name="Note 11 3" xfId="325" xr:uid="{00000000-0005-0000-0000-0000BF030000}"/>
    <cellStyle name="Note 11 3 2" xfId="723" xr:uid="{00000000-0005-0000-0000-0000C0030000}"/>
    <cellStyle name="Note 11 3 2 2" xfId="1550" xr:uid="{00000000-0005-0000-0000-0000C1030000}"/>
    <cellStyle name="Note 11 3 3" xfId="1152" xr:uid="{00000000-0005-0000-0000-0000C2030000}"/>
    <cellStyle name="Note 11 4" xfId="581" xr:uid="{00000000-0005-0000-0000-0000C3030000}"/>
    <cellStyle name="Note 11 4 2" xfId="1408" xr:uid="{00000000-0005-0000-0000-0000C4030000}"/>
    <cellStyle name="Note 11 5" xfId="1010" xr:uid="{00000000-0005-0000-0000-0000C5030000}"/>
    <cellStyle name="Note 12" xfId="227" xr:uid="{00000000-0005-0000-0000-0000C6030000}"/>
    <cellStyle name="Note 12 2" xfId="484" xr:uid="{00000000-0005-0000-0000-0000C7030000}"/>
    <cellStyle name="Note 12 2 2" xfId="882" xr:uid="{00000000-0005-0000-0000-0000C8030000}"/>
    <cellStyle name="Note 12 2 2 2" xfId="1709" xr:uid="{00000000-0005-0000-0000-0000C9030000}"/>
    <cellStyle name="Note 12 2 3" xfId="1311" xr:uid="{00000000-0005-0000-0000-0000CA030000}"/>
    <cellStyle name="Note 12 3" xfId="626" xr:uid="{00000000-0005-0000-0000-0000CB030000}"/>
    <cellStyle name="Note 12 3 2" xfId="1453" xr:uid="{00000000-0005-0000-0000-0000CC030000}"/>
    <cellStyle name="Note 12 4" xfId="1055" xr:uid="{00000000-0005-0000-0000-0000CD030000}"/>
    <cellStyle name="Note 13" xfId="913" xr:uid="{00000000-0005-0000-0000-0000CE030000}"/>
    <cellStyle name="Note 2" xfId="13" xr:uid="{00000000-0005-0000-0000-0000CF030000}"/>
    <cellStyle name="Note 2 2" xfId="98" xr:uid="{00000000-0005-0000-0000-0000D0030000}"/>
    <cellStyle name="Note 2 2 2" xfId="149" xr:uid="{00000000-0005-0000-0000-0000D1030000}"/>
    <cellStyle name="Note 2 2 2 2" xfId="407" xr:uid="{00000000-0005-0000-0000-0000D2030000}"/>
    <cellStyle name="Note 2 2 2 2 2" xfId="805" xr:uid="{00000000-0005-0000-0000-0000D3030000}"/>
    <cellStyle name="Note 2 2 2 2 2 2" xfId="1632" xr:uid="{00000000-0005-0000-0000-0000D4030000}"/>
    <cellStyle name="Note 2 2 2 2 3" xfId="1234" xr:uid="{00000000-0005-0000-0000-0000D5030000}"/>
    <cellStyle name="Note 2 2 2 3" xfId="293" xr:uid="{00000000-0005-0000-0000-0000D6030000}"/>
    <cellStyle name="Note 2 2 2 3 2" xfId="691" xr:uid="{00000000-0005-0000-0000-0000D7030000}"/>
    <cellStyle name="Note 2 2 2 3 2 2" xfId="1518" xr:uid="{00000000-0005-0000-0000-0000D8030000}"/>
    <cellStyle name="Note 2 2 2 3 3" xfId="1120" xr:uid="{00000000-0005-0000-0000-0000D9030000}"/>
    <cellStyle name="Note 2 2 2 4" xfId="549" xr:uid="{00000000-0005-0000-0000-0000DA030000}"/>
    <cellStyle name="Note 2 2 2 4 2" xfId="1376" xr:uid="{00000000-0005-0000-0000-0000DB030000}"/>
    <cellStyle name="Note 2 2 2 5" xfId="978" xr:uid="{00000000-0005-0000-0000-0000DC030000}"/>
    <cellStyle name="Note 2 2 3" xfId="151" xr:uid="{00000000-0005-0000-0000-0000DD030000}"/>
    <cellStyle name="Note 2 2 3 2" xfId="409" xr:uid="{00000000-0005-0000-0000-0000DE030000}"/>
    <cellStyle name="Note 2 2 3 2 2" xfId="807" xr:uid="{00000000-0005-0000-0000-0000DF030000}"/>
    <cellStyle name="Note 2 2 3 2 2 2" xfId="1634" xr:uid="{00000000-0005-0000-0000-0000E0030000}"/>
    <cellStyle name="Note 2 2 3 2 3" xfId="1236" xr:uid="{00000000-0005-0000-0000-0000E1030000}"/>
    <cellStyle name="Note 2 2 3 3" xfId="295" xr:uid="{00000000-0005-0000-0000-0000E2030000}"/>
    <cellStyle name="Note 2 2 3 3 2" xfId="693" xr:uid="{00000000-0005-0000-0000-0000E3030000}"/>
    <cellStyle name="Note 2 2 3 3 2 2" xfId="1520" xr:uid="{00000000-0005-0000-0000-0000E4030000}"/>
    <cellStyle name="Note 2 2 3 3 3" xfId="1122" xr:uid="{00000000-0005-0000-0000-0000E5030000}"/>
    <cellStyle name="Note 2 2 3 4" xfId="551" xr:uid="{00000000-0005-0000-0000-0000E6030000}"/>
    <cellStyle name="Note 2 2 3 4 2" xfId="1378" xr:uid="{00000000-0005-0000-0000-0000E7030000}"/>
    <cellStyle name="Note 2 2 3 5" xfId="980" xr:uid="{00000000-0005-0000-0000-0000E8030000}"/>
    <cellStyle name="Note 2 2 4" xfId="241" xr:uid="{00000000-0005-0000-0000-0000E9030000}"/>
    <cellStyle name="Note 2 2 4 2" xfId="498" xr:uid="{00000000-0005-0000-0000-0000EA030000}"/>
    <cellStyle name="Note 2 2 4 2 2" xfId="896" xr:uid="{00000000-0005-0000-0000-0000EB030000}"/>
    <cellStyle name="Note 2 2 4 2 2 2" xfId="1723" xr:uid="{00000000-0005-0000-0000-0000EC030000}"/>
    <cellStyle name="Note 2 2 4 2 3" xfId="1325" xr:uid="{00000000-0005-0000-0000-0000ED030000}"/>
    <cellStyle name="Note 2 2 4 3" xfId="640" xr:uid="{00000000-0005-0000-0000-0000EE030000}"/>
    <cellStyle name="Note 2 2 4 3 2" xfId="1467" xr:uid="{00000000-0005-0000-0000-0000EF030000}"/>
    <cellStyle name="Note 2 2 4 4" xfId="1069" xr:uid="{00000000-0005-0000-0000-0000F0030000}"/>
    <cellStyle name="Note 2 2 5" xfId="927" xr:uid="{00000000-0005-0000-0000-0000F1030000}"/>
    <cellStyle name="Note 2 3" xfId="138" xr:uid="{00000000-0005-0000-0000-0000F2030000}"/>
    <cellStyle name="Note 2 3 2" xfId="396" xr:uid="{00000000-0005-0000-0000-0000F3030000}"/>
    <cellStyle name="Note 2 3 2 2" xfId="794" xr:uid="{00000000-0005-0000-0000-0000F4030000}"/>
    <cellStyle name="Note 2 3 2 2 2" xfId="1621" xr:uid="{00000000-0005-0000-0000-0000F5030000}"/>
    <cellStyle name="Note 2 3 2 3" xfId="1223" xr:uid="{00000000-0005-0000-0000-0000F6030000}"/>
    <cellStyle name="Note 2 3 3" xfId="282" xr:uid="{00000000-0005-0000-0000-0000F7030000}"/>
    <cellStyle name="Note 2 3 3 2" xfId="680" xr:uid="{00000000-0005-0000-0000-0000F8030000}"/>
    <cellStyle name="Note 2 3 3 2 2" xfId="1507" xr:uid="{00000000-0005-0000-0000-0000F9030000}"/>
    <cellStyle name="Note 2 3 3 3" xfId="1109" xr:uid="{00000000-0005-0000-0000-0000FA030000}"/>
    <cellStyle name="Note 2 3 4" xfId="538" xr:uid="{00000000-0005-0000-0000-0000FB030000}"/>
    <cellStyle name="Note 2 3 4 2" xfId="1365" xr:uid="{00000000-0005-0000-0000-0000FC030000}"/>
    <cellStyle name="Note 2 3 5" xfId="967" xr:uid="{00000000-0005-0000-0000-0000FD030000}"/>
    <cellStyle name="Note 2 4" xfId="126" xr:uid="{00000000-0005-0000-0000-0000FE030000}"/>
    <cellStyle name="Note 2 4 2" xfId="384" xr:uid="{00000000-0005-0000-0000-0000FF030000}"/>
    <cellStyle name="Note 2 4 2 2" xfId="782" xr:uid="{00000000-0005-0000-0000-000000040000}"/>
    <cellStyle name="Note 2 4 2 2 2" xfId="1609" xr:uid="{00000000-0005-0000-0000-000001040000}"/>
    <cellStyle name="Note 2 4 2 3" xfId="1211" xr:uid="{00000000-0005-0000-0000-000002040000}"/>
    <cellStyle name="Note 2 4 3" xfId="270" xr:uid="{00000000-0005-0000-0000-000003040000}"/>
    <cellStyle name="Note 2 4 3 2" xfId="668" xr:uid="{00000000-0005-0000-0000-000004040000}"/>
    <cellStyle name="Note 2 4 3 2 2" xfId="1495" xr:uid="{00000000-0005-0000-0000-000005040000}"/>
    <cellStyle name="Note 2 4 3 3" xfId="1097" xr:uid="{00000000-0005-0000-0000-000006040000}"/>
    <cellStyle name="Note 2 4 4" xfId="526" xr:uid="{00000000-0005-0000-0000-000007040000}"/>
    <cellStyle name="Note 2 4 4 2" xfId="1353" xr:uid="{00000000-0005-0000-0000-000008040000}"/>
    <cellStyle name="Note 2 4 5" xfId="955" xr:uid="{00000000-0005-0000-0000-000009040000}"/>
    <cellStyle name="Note 2 5" xfId="186" xr:uid="{00000000-0005-0000-0000-00000A040000}"/>
    <cellStyle name="Note 2 5 2" xfId="443" xr:uid="{00000000-0005-0000-0000-00000B040000}"/>
    <cellStyle name="Note 2 5 2 2" xfId="841" xr:uid="{00000000-0005-0000-0000-00000C040000}"/>
    <cellStyle name="Note 2 5 2 2 2" xfId="1668" xr:uid="{00000000-0005-0000-0000-00000D040000}"/>
    <cellStyle name="Note 2 5 2 3" xfId="1270" xr:uid="{00000000-0005-0000-0000-00000E040000}"/>
    <cellStyle name="Note 2 5 3" xfId="329" xr:uid="{00000000-0005-0000-0000-00000F040000}"/>
    <cellStyle name="Note 2 5 3 2" xfId="727" xr:uid="{00000000-0005-0000-0000-000010040000}"/>
    <cellStyle name="Note 2 5 3 2 2" xfId="1554" xr:uid="{00000000-0005-0000-0000-000011040000}"/>
    <cellStyle name="Note 2 5 3 3" xfId="1156" xr:uid="{00000000-0005-0000-0000-000012040000}"/>
    <cellStyle name="Note 2 5 4" xfId="585" xr:uid="{00000000-0005-0000-0000-000013040000}"/>
    <cellStyle name="Note 2 5 4 2" xfId="1412" xr:uid="{00000000-0005-0000-0000-000014040000}"/>
    <cellStyle name="Note 2 5 5" xfId="1014" xr:uid="{00000000-0005-0000-0000-000015040000}"/>
    <cellStyle name="Note 2 6" xfId="203" xr:uid="{00000000-0005-0000-0000-000016040000}"/>
    <cellStyle name="Note 2 6 2" xfId="460" xr:uid="{00000000-0005-0000-0000-000017040000}"/>
    <cellStyle name="Note 2 6 2 2" xfId="858" xr:uid="{00000000-0005-0000-0000-000018040000}"/>
    <cellStyle name="Note 2 6 2 2 2" xfId="1685" xr:uid="{00000000-0005-0000-0000-000019040000}"/>
    <cellStyle name="Note 2 6 2 3" xfId="1287" xr:uid="{00000000-0005-0000-0000-00001A040000}"/>
    <cellStyle name="Note 2 6 3" xfId="346" xr:uid="{00000000-0005-0000-0000-00001B040000}"/>
    <cellStyle name="Note 2 6 3 2" xfId="744" xr:uid="{00000000-0005-0000-0000-00001C040000}"/>
    <cellStyle name="Note 2 6 3 2 2" xfId="1571" xr:uid="{00000000-0005-0000-0000-00001D040000}"/>
    <cellStyle name="Note 2 6 3 3" xfId="1173" xr:uid="{00000000-0005-0000-0000-00001E040000}"/>
    <cellStyle name="Note 2 6 4" xfId="602" xr:uid="{00000000-0005-0000-0000-00001F040000}"/>
    <cellStyle name="Note 2 6 4 2" xfId="1429" xr:uid="{00000000-0005-0000-0000-000020040000}"/>
    <cellStyle name="Note 2 6 5" xfId="1031" xr:uid="{00000000-0005-0000-0000-000021040000}"/>
    <cellStyle name="Note 2 7" xfId="224" xr:uid="{00000000-0005-0000-0000-000022040000}"/>
    <cellStyle name="Note 2 7 2" xfId="481" xr:uid="{00000000-0005-0000-0000-000023040000}"/>
    <cellStyle name="Note 2 7 2 2" xfId="879" xr:uid="{00000000-0005-0000-0000-000024040000}"/>
    <cellStyle name="Note 2 7 2 2 2" xfId="1706" xr:uid="{00000000-0005-0000-0000-000025040000}"/>
    <cellStyle name="Note 2 7 2 3" xfId="1308" xr:uid="{00000000-0005-0000-0000-000026040000}"/>
    <cellStyle name="Note 2 7 3" xfId="623" xr:uid="{00000000-0005-0000-0000-000027040000}"/>
    <cellStyle name="Note 2 7 3 2" xfId="1450" xr:uid="{00000000-0005-0000-0000-000028040000}"/>
    <cellStyle name="Note 2 7 4" xfId="1052" xr:uid="{00000000-0005-0000-0000-000029040000}"/>
    <cellStyle name="Note 2 8" xfId="910" xr:uid="{00000000-0005-0000-0000-00002A040000}"/>
    <cellStyle name="Note 3" xfId="94" xr:uid="{00000000-0005-0000-0000-00002B040000}"/>
    <cellStyle name="Note 3 2" xfId="148" xr:uid="{00000000-0005-0000-0000-00002C040000}"/>
    <cellStyle name="Note 3 2 2" xfId="406" xr:uid="{00000000-0005-0000-0000-00002D040000}"/>
    <cellStyle name="Note 3 2 2 2" xfId="804" xr:uid="{00000000-0005-0000-0000-00002E040000}"/>
    <cellStyle name="Note 3 2 2 2 2" xfId="1631" xr:uid="{00000000-0005-0000-0000-00002F040000}"/>
    <cellStyle name="Note 3 2 2 3" xfId="1233" xr:uid="{00000000-0005-0000-0000-000030040000}"/>
    <cellStyle name="Note 3 2 3" xfId="292" xr:uid="{00000000-0005-0000-0000-000031040000}"/>
    <cellStyle name="Note 3 2 3 2" xfId="690" xr:uid="{00000000-0005-0000-0000-000032040000}"/>
    <cellStyle name="Note 3 2 3 2 2" xfId="1517" xr:uid="{00000000-0005-0000-0000-000033040000}"/>
    <cellStyle name="Note 3 2 3 3" xfId="1119" xr:uid="{00000000-0005-0000-0000-000034040000}"/>
    <cellStyle name="Note 3 2 4" xfId="548" xr:uid="{00000000-0005-0000-0000-000035040000}"/>
    <cellStyle name="Note 3 2 4 2" xfId="1375" xr:uid="{00000000-0005-0000-0000-000036040000}"/>
    <cellStyle name="Note 3 2 5" xfId="977" xr:uid="{00000000-0005-0000-0000-000037040000}"/>
    <cellStyle name="Note 3 3" xfId="122" xr:uid="{00000000-0005-0000-0000-000038040000}"/>
    <cellStyle name="Note 3 3 2" xfId="380" xr:uid="{00000000-0005-0000-0000-000039040000}"/>
    <cellStyle name="Note 3 3 2 2" xfId="778" xr:uid="{00000000-0005-0000-0000-00003A040000}"/>
    <cellStyle name="Note 3 3 2 2 2" xfId="1605" xr:uid="{00000000-0005-0000-0000-00003B040000}"/>
    <cellStyle name="Note 3 3 2 3" xfId="1207" xr:uid="{00000000-0005-0000-0000-00003C040000}"/>
    <cellStyle name="Note 3 3 3" xfId="266" xr:uid="{00000000-0005-0000-0000-00003D040000}"/>
    <cellStyle name="Note 3 3 3 2" xfId="664" xr:uid="{00000000-0005-0000-0000-00003E040000}"/>
    <cellStyle name="Note 3 3 3 2 2" xfId="1491" xr:uid="{00000000-0005-0000-0000-00003F040000}"/>
    <cellStyle name="Note 3 3 3 3" xfId="1093" xr:uid="{00000000-0005-0000-0000-000040040000}"/>
    <cellStyle name="Note 3 3 4" xfId="522" xr:uid="{00000000-0005-0000-0000-000041040000}"/>
    <cellStyle name="Note 3 3 4 2" xfId="1349" xr:uid="{00000000-0005-0000-0000-000042040000}"/>
    <cellStyle name="Note 3 3 5" xfId="951" xr:uid="{00000000-0005-0000-0000-000043040000}"/>
    <cellStyle name="Note 3 4" xfId="210" xr:uid="{00000000-0005-0000-0000-000044040000}"/>
    <cellStyle name="Note 3 4 2" xfId="467" xr:uid="{00000000-0005-0000-0000-000045040000}"/>
    <cellStyle name="Note 3 4 2 2" xfId="865" xr:uid="{00000000-0005-0000-0000-000046040000}"/>
    <cellStyle name="Note 3 4 2 2 2" xfId="1692" xr:uid="{00000000-0005-0000-0000-000047040000}"/>
    <cellStyle name="Note 3 4 2 3" xfId="1294" xr:uid="{00000000-0005-0000-0000-000048040000}"/>
    <cellStyle name="Note 3 4 3" xfId="353" xr:uid="{00000000-0005-0000-0000-000049040000}"/>
    <cellStyle name="Note 3 4 3 2" xfId="751" xr:uid="{00000000-0005-0000-0000-00004A040000}"/>
    <cellStyle name="Note 3 4 3 2 2" xfId="1578" xr:uid="{00000000-0005-0000-0000-00004B040000}"/>
    <cellStyle name="Note 3 4 3 3" xfId="1180" xr:uid="{00000000-0005-0000-0000-00004C040000}"/>
    <cellStyle name="Note 3 4 4" xfId="609" xr:uid="{00000000-0005-0000-0000-00004D040000}"/>
    <cellStyle name="Note 3 4 4 2" xfId="1436" xr:uid="{00000000-0005-0000-0000-00004E040000}"/>
    <cellStyle name="Note 3 4 5" xfId="1038" xr:uid="{00000000-0005-0000-0000-00004F040000}"/>
    <cellStyle name="Note 3 5" xfId="201" xr:uid="{00000000-0005-0000-0000-000050040000}"/>
    <cellStyle name="Note 3 5 2" xfId="458" xr:uid="{00000000-0005-0000-0000-000051040000}"/>
    <cellStyle name="Note 3 5 2 2" xfId="856" xr:uid="{00000000-0005-0000-0000-000052040000}"/>
    <cellStyle name="Note 3 5 2 2 2" xfId="1683" xr:uid="{00000000-0005-0000-0000-000053040000}"/>
    <cellStyle name="Note 3 5 2 3" xfId="1285" xr:uid="{00000000-0005-0000-0000-000054040000}"/>
    <cellStyle name="Note 3 5 3" xfId="344" xr:uid="{00000000-0005-0000-0000-000055040000}"/>
    <cellStyle name="Note 3 5 3 2" xfId="742" xr:uid="{00000000-0005-0000-0000-000056040000}"/>
    <cellStyle name="Note 3 5 3 2 2" xfId="1569" xr:uid="{00000000-0005-0000-0000-000057040000}"/>
    <cellStyle name="Note 3 5 3 3" xfId="1171" xr:uid="{00000000-0005-0000-0000-000058040000}"/>
    <cellStyle name="Note 3 5 4" xfId="600" xr:uid="{00000000-0005-0000-0000-000059040000}"/>
    <cellStyle name="Note 3 5 4 2" xfId="1427" xr:uid="{00000000-0005-0000-0000-00005A040000}"/>
    <cellStyle name="Note 3 5 5" xfId="1029" xr:uid="{00000000-0005-0000-0000-00005B040000}"/>
    <cellStyle name="Note 3 6" xfId="237" xr:uid="{00000000-0005-0000-0000-00005C040000}"/>
    <cellStyle name="Note 3 6 2" xfId="494" xr:uid="{00000000-0005-0000-0000-00005D040000}"/>
    <cellStyle name="Note 3 6 2 2" xfId="892" xr:uid="{00000000-0005-0000-0000-00005E040000}"/>
    <cellStyle name="Note 3 6 2 2 2" xfId="1719" xr:uid="{00000000-0005-0000-0000-00005F040000}"/>
    <cellStyle name="Note 3 6 2 3" xfId="1321" xr:uid="{00000000-0005-0000-0000-000060040000}"/>
    <cellStyle name="Note 3 6 3" xfId="636" xr:uid="{00000000-0005-0000-0000-000061040000}"/>
    <cellStyle name="Note 3 6 3 2" xfId="1463" xr:uid="{00000000-0005-0000-0000-000062040000}"/>
    <cellStyle name="Note 3 6 4" xfId="1065" xr:uid="{00000000-0005-0000-0000-000063040000}"/>
    <cellStyle name="Note 3 7" xfId="923" xr:uid="{00000000-0005-0000-0000-000064040000}"/>
    <cellStyle name="Note 4" xfId="97" xr:uid="{00000000-0005-0000-0000-000065040000}"/>
    <cellStyle name="Note 4 2" xfId="147" xr:uid="{00000000-0005-0000-0000-000066040000}"/>
    <cellStyle name="Note 4 2 2" xfId="405" xr:uid="{00000000-0005-0000-0000-000067040000}"/>
    <cellStyle name="Note 4 2 2 2" xfId="803" xr:uid="{00000000-0005-0000-0000-000068040000}"/>
    <cellStyle name="Note 4 2 2 2 2" xfId="1630" xr:uid="{00000000-0005-0000-0000-000069040000}"/>
    <cellStyle name="Note 4 2 2 3" xfId="1232" xr:uid="{00000000-0005-0000-0000-00006A040000}"/>
    <cellStyle name="Note 4 2 3" xfId="291" xr:uid="{00000000-0005-0000-0000-00006B040000}"/>
    <cellStyle name="Note 4 2 3 2" xfId="689" xr:uid="{00000000-0005-0000-0000-00006C040000}"/>
    <cellStyle name="Note 4 2 3 2 2" xfId="1516" xr:uid="{00000000-0005-0000-0000-00006D040000}"/>
    <cellStyle name="Note 4 2 3 3" xfId="1118" xr:uid="{00000000-0005-0000-0000-00006E040000}"/>
    <cellStyle name="Note 4 2 4" xfId="547" xr:uid="{00000000-0005-0000-0000-00006F040000}"/>
    <cellStyle name="Note 4 2 4 2" xfId="1374" xr:uid="{00000000-0005-0000-0000-000070040000}"/>
    <cellStyle name="Note 4 2 5" xfId="976" xr:uid="{00000000-0005-0000-0000-000071040000}"/>
    <cellStyle name="Note 4 3" xfId="125" xr:uid="{00000000-0005-0000-0000-000072040000}"/>
    <cellStyle name="Note 4 3 2" xfId="383" xr:uid="{00000000-0005-0000-0000-000073040000}"/>
    <cellStyle name="Note 4 3 2 2" xfId="781" xr:uid="{00000000-0005-0000-0000-000074040000}"/>
    <cellStyle name="Note 4 3 2 2 2" xfId="1608" xr:uid="{00000000-0005-0000-0000-000075040000}"/>
    <cellStyle name="Note 4 3 2 3" xfId="1210" xr:uid="{00000000-0005-0000-0000-000076040000}"/>
    <cellStyle name="Note 4 3 3" xfId="269" xr:uid="{00000000-0005-0000-0000-000077040000}"/>
    <cellStyle name="Note 4 3 3 2" xfId="667" xr:uid="{00000000-0005-0000-0000-000078040000}"/>
    <cellStyle name="Note 4 3 3 2 2" xfId="1494" xr:uid="{00000000-0005-0000-0000-000079040000}"/>
    <cellStyle name="Note 4 3 3 3" xfId="1096" xr:uid="{00000000-0005-0000-0000-00007A040000}"/>
    <cellStyle name="Note 4 3 4" xfId="525" xr:uid="{00000000-0005-0000-0000-00007B040000}"/>
    <cellStyle name="Note 4 3 4 2" xfId="1352" xr:uid="{00000000-0005-0000-0000-00007C040000}"/>
    <cellStyle name="Note 4 3 5" xfId="954" xr:uid="{00000000-0005-0000-0000-00007D040000}"/>
    <cellStyle name="Note 4 4" xfId="212" xr:uid="{00000000-0005-0000-0000-00007E040000}"/>
    <cellStyle name="Note 4 4 2" xfId="469" xr:uid="{00000000-0005-0000-0000-00007F040000}"/>
    <cellStyle name="Note 4 4 2 2" xfId="867" xr:uid="{00000000-0005-0000-0000-000080040000}"/>
    <cellStyle name="Note 4 4 2 2 2" xfId="1694" xr:uid="{00000000-0005-0000-0000-000081040000}"/>
    <cellStyle name="Note 4 4 2 3" xfId="1296" xr:uid="{00000000-0005-0000-0000-000082040000}"/>
    <cellStyle name="Note 4 4 3" xfId="355" xr:uid="{00000000-0005-0000-0000-000083040000}"/>
    <cellStyle name="Note 4 4 3 2" xfId="753" xr:uid="{00000000-0005-0000-0000-000084040000}"/>
    <cellStyle name="Note 4 4 3 2 2" xfId="1580" xr:uid="{00000000-0005-0000-0000-000085040000}"/>
    <cellStyle name="Note 4 4 3 3" xfId="1182" xr:uid="{00000000-0005-0000-0000-000086040000}"/>
    <cellStyle name="Note 4 4 4" xfId="611" xr:uid="{00000000-0005-0000-0000-000087040000}"/>
    <cellStyle name="Note 4 4 4 2" xfId="1438" xr:uid="{00000000-0005-0000-0000-000088040000}"/>
    <cellStyle name="Note 4 4 5" xfId="1040" xr:uid="{00000000-0005-0000-0000-000089040000}"/>
    <cellStyle name="Note 4 5" xfId="196" xr:uid="{00000000-0005-0000-0000-00008A040000}"/>
    <cellStyle name="Note 4 5 2" xfId="453" xr:uid="{00000000-0005-0000-0000-00008B040000}"/>
    <cellStyle name="Note 4 5 2 2" xfId="851" xr:uid="{00000000-0005-0000-0000-00008C040000}"/>
    <cellStyle name="Note 4 5 2 2 2" xfId="1678" xr:uid="{00000000-0005-0000-0000-00008D040000}"/>
    <cellStyle name="Note 4 5 2 3" xfId="1280" xr:uid="{00000000-0005-0000-0000-00008E040000}"/>
    <cellStyle name="Note 4 5 3" xfId="339" xr:uid="{00000000-0005-0000-0000-00008F040000}"/>
    <cellStyle name="Note 4 5 3 2" xfId="737" xr:uid="{00000000-0005-0000-0000-000090040000}"/>
    <cellStyle name="Note 4 5 3 2 2" xfId="1564" xr:uid="{00000000-0005-0000-0000-000091040000}"/>
    <cellStyle name="Note 4 5 3 3" xfId="1166" xr:uid="{00000000-0005-0000-0000-000092040000}"/>
    <cellStyle name="Note 4 5 4" xfId="595" xr:uid="{00000000-0005-0000-0000-000093040000}"/>
    <cellStyle name="Note 4 5 4 2" xfId="1422" xr:uid="{00000000-0005-0000-0000-000094040000}"/>
    <cellStyle name="Note 4 5 5" xfId="1024" xr:uid="{00000000-0005-0000-0000-000095040000}"/>
    <cellStyle name="Note 4 6" xfId="240" xr:uid="{00000000-0005-0000-0000-000096040000}"/>
    <cellStyle name="Note 4 6 2" xfId="497" xr:uid="{00000000-0005-0000-0000-000097040000}"/>
    <cellStyle name="Note 4 6 2 2" xfId="895" xr:uid="{00000000-0005-0000-0000-000098040000}"/>
    <cellStyle name="Note 4 6 2 2 2" xfId="1722" xr:uid="{00000000-0005-0000-0000-000099040000}"/>
    <cellStyle name="Note 4 6 2 3" xfId="1324" xr:uid="{00000000-0005-0000-0000-00009A040000}"/>
    <cellStyle name="Note 4 6 3" xfId="639" xr:uid="{00000000-0005-0000-0000-00009B040000}"/>
    <cellStyle name="Note 4 6 3 2" xfId="1466" xr:uid="{00000000-0005-0000-0000-00009C040000}"/>
    <cellStyle name="Note 4 6 4" xfId="1068" xr:uid="{00000000-0005-0000-0000-00009D040000}"/>
    <cellStyle name="Note 4 7" xfId="926" xr:uid="{00000000-0005-0000-0000-00009E040000}"/>
    <cellStyle name="Note 5" xfId="100" xr:uid="{00000000-0005-0000-0000-00009F040000}"/>
    <cellStyle name="Note 5 2" xfId="150" xr:uid="{00000000-0005-0000-0000-0000A0040000}"/>
    <cellStyle name="Note 5 2 2" xfId="408" xr:uid="{00000000-0005-0000-0000-0000A1040000}"/>
    <cellStyle name="Note 5 2 2 2" xfId="806" xr:uid="{00000000-0005-0000-0000-0000A2040000}"/>
    <cellStyle name="Note 5 2 2 2 2" xfId="1633" xr:uid="{00000000-0005-0000-0000-0000A3040000}"/>
    <cellStyle name="Note 5 2 2 3" xfId="1235" xr:uid="{00000000-0005-0000-0000-0000A4040000}"/>
    <cellStyle name="Note 5 2 3" xfId="294" xr:uid="{00000000-0005-0000-0000-0000A5040000}"/>
    <cellStyle name="Note 5 2 3 2" xfId="692" xr:uid="{00000000-0005-0000-0000-0000A6040000}"/>
    <cellStyle name="Note 5 2 3 2 2" xfId="1519" xr:uid="{00000000-0005-0000-0000-0000A7040000}"/>
    <cellStyle name="Note 5 2 3 3" xfId="1121" xr:uid="{00000000-0005-0000-0000-0000A8040000}"/>
    <cellStyle name="Note 5 2 4" xfId="550" xr:uid="{00000000-0005-0000-0000-0000A9040000}"/>
    <cellStyle name="Note 5 2 4 2" xfId="1377" xr:uid="{00000000-0005-0000-0000-0000AA040000}"/>
    <cellStyle name="Note 5 2 5" xfId="979" xr:uid="{00000000-0005-0000-0000-0000AB040000}"/>
    <cellStyle name="Note 5 3" xfId="128" xr:uid="{00000000-0005-0000-0000-0000AC040000}"/>
    <cellStyle name="Note 5 3 2" xfId="386" xr:uid="{00000000-0005-0000-0000-0000AD040000}"/>
    <cellStyle name="Note 5 3 2 2" xfId="784" xr:uid="{00000000-0005-0000-0000-0000AE040000}"/>
    <cellStyle name="Note 5 3 2 2 2" xfId="1611" xr:uid="{00000000-0005-0000-0000-0000AF040000}"/>
    <cellStyle name="Note 5 3 2 3" xfId="1213" xr:uid="{00000000-0005-0000-0000-0000B0040000}"/>
    <cellStyle name="Note 5 3 3" xfId="272" xr:uid="{00000000-0005-0000-0000-0000B1040000}"/>
    <cellStyle name="Note 5 3 3 2" xfId="670" xr:uid="{00000000-0005-0000-0000-0000B2040000}"/>
    <cellStyle name="Note 5 3 3 2 2" xfId="1497" xr:uid="{00000000-0005-0000-0000-0000B3040000}"/>
    <cellStyle name="Note 5 3 3 3" xfId="1099" xr:uid="{00000000-0005-0000-0000-0000B4040000}"/>
    <cellStyle name="Note 5 3 4" xfId="528" xr:uid="{00000000-0005-0000-0000-0000B5040000}"/>
    <cellStyle name="Note 5 3 4 2" xfId="1355" xr:uid="{00000000-0005-0000-0000-0000B6040000}"/>
    <cellStyle name="Note 5 3 5" xfId="957" xr:uid="{00000000-0005-0000-0000-0000B7040000}"/>
    <cellStyle name="Note 5 4" xfId="215" xr:uid="{00000000-0005-0000-0000-0000B8040000}"/>
    <cellStyle name="Note 5 4 2" xfId="472" xr:uid="{00000000-0005-0000-0000-0000B9040000}"/>
    <cellStyle name="Note 5 4 2 2" xfId="870" xr:uid="{00000000-0005-0000-0000-0000BA040000}"/>
    <cellStyle name="Note 5 4 2 2 2" xfId="1697" xr:uid="{00000000-0005-0000-0000-0000BB040000}"/>
    <cellStyle name="Note 5 4 2 3" xfId="1299" xr:uid="{00000000-0005-0000-0000-0000BC040000}"/>
    <cellStyle name="Note 5 4 3" xfId="358" xr:uid="{00000000-0005-0000-0000-0000BD040000}"/>
    <cellStyle name="Note 5 4 3 2" xfId="756" xr:uid="{00000000-0005-0000-0000-0000BE040000}"/>
    <cellStyle name="Note 5 4 3 2 2" xfId="1583" xr:uid="{00000000-0005-0000-0000-0000BF040000}"/>
    <cellStyle name="Note 5 4 3 3" xfId="1185" xr:uid="{00000000-0005-0000-0000-0000C0040000}"/>
    <cellStyle name="Note 5 4 4" xfId="614" xr:uid="{00000000-0005-0000-0000-0000C1040000}"/>
    <cellStyle name="Note 5 4 4 2" xfId="1441" xr:uid="{00000000-0005-0000-0000-0000C2040000}"/>
    <cellStyle name="Note 5 4 5" xfId="1043" xr:uid="{00000000-0005-0000-0000-0000C3040000}"/>
    <cellStyle name="Note 5 5" xfId="190" xr:uid="{00000000-0005-0000-0000-0000C4040000}"/>
    <cellStyle name="Note 5 5 2" xfId="447" xr:uid="{00000000-0005-0000-0000-0000C5040000}"/>
    <cellStyle name="Note 5 5 2 2" xfId="845" xr:uid="{00000000-0005-0000-0000-0000C6040000}"/>
    <cellStyle name="Note 5 5 2 2 2" xfId="1672" xr:uid="{00000000-0005-0000-0000-0000C7040000}"/>
    <cellStyle name="Note 5 5 2 3" xfId="1274" xr:uid="{00000000-0005-0000-0000-0000C8040000}"/>
    <cellStyle name="Note 5 5 3" xfId="333" xr:uid="{00000000-0005-0000-0000-0000C9040000}"/>
    <cellStyle name="Note 5 5 3 2" xfId="731" xr:uid="{00000000-0005-0000-0000-0000CA040000}"/>
    <cellStyle name="Note 5 5 3 2 2" xfId="1558" xr:uid="{00000000-0005-0000-0000-0000CB040000}"/>
    <cellStyle name="Note 5 5 3 3" xfId="1160" xr:uid="{00000000-0005-0000-0000-0000CC040000}"/>
    <cellStyle name="Note 5 5 4" xfId="589" xr:uid="{00000000-0005-0000-0000-0000CD040000}"/>
    <cellStyle name="Note 5 5 4 2" xfId="1416" xr:uid="{00000000-0005-0000-0000-0000CE040000}"/>
    <cellStyle name="Note 5 5 5" xfId="1018" xr:uid="{00000000-0005-0000-0000-0000CF040000}"/>
    <cellStyle name="Note 5 6" xfId="243" xr:uid="{00000000-0005-0000-0000-0000D0040000}"/>
    <cellStyle name="Note 5 6 2" xfId="500" xr:uid="{00000000-0005-0000-0000-0000D1040000}"/>
    <cellStyle name="Note 5 6 2 2" xfId="898" xr:uid="{00000000-0005-0000-0000-0000D2040000}"/>
    <cellStyle name="Note 5 6 2 2 2" xfId="1725" xr:uid="{00000000-0005-0000-0000-0000D3040000}"/>
    <cellStyle name="Note 5 6 2 3" xfId="1327" xr:uid="{00000000-0005-0000-0000-0000D4040000}"/>
    <cellStyle name="Note 5 6 3" xfId="642" xr:uid="{00000000-0005-0000-0000-0000D5040000}"/>
    <cellStyle name="Note 5 6 3 2" xfId="1469" xr:uid="{00000000-0005-0000-0000-0000D6040000}"/>
    <cellStyle name="Note 5 6 4" xfId="1071" xr:uid="{00000000-0005-0000-0000-0000D7040000}"/>
    <cellStyle name="Note 5 7" xfId="929" xr:uid="{00000000-0005-0000-0000-0000D8040000}"/>
    <cellStyle name="Note 6" xfId="89" xr:uid="{00000000-0005-0000-0000-0000D9040000}"/>
    <cellStyle name="Note 6 2" xfId="141" xr:uid="{00000000-0005-0000-0000-0000DA040000}"/>
    <cellStyle name="Note 6 2 2" xfId="399" xr:uid="{00000000-0005-0000-0000-0000DB040000}"/>
    <cellStyle name="Note 6 2 2 2" xfId="797" xr:uid="{00000000-0005-0000-0000-0000DC040000}"/>
    <cellStyle name="Note 6 2 2 2 2" xfId="1624" xr:uid="{00000000-0005-0000-0000-0000DD040000}"/>
    <cellStyle name="Note 6 2 2 3" xfId="1226" xr:uid="{00000000-0005-0000-0000-0000DE040000}"/>
    <cellStyle name="Note 6 2 3" xfId="285" xr:uid="{00000000-0005-0000-0000-0000DF040000}"/>
    <cellStyle name="Note 6 2 3 2" xfId="683" xr:uid="{00000000-0005-0000-0000-0000E0040000}"/>
    <cellStyle name="Note 6 2 3 2 2" xfId="1510" xr:uid="{00000000-0005-0000-0000-0000E1040000}"/>
    <cellStyle name="Note 6 2 3 3" xfId="1112" xr:uid="{00000000-0005-0000-0000-0000E2040000}"/>
    <cellStyle name="Note 6 2 4" xfId="541" xr:uid="{00000000-0005-0000-0000-0000E3040000}"/>
    <cellStyle name="Note 6 2 4 2" xfId="1368" xr:uid="{00000000-0005-0000-0000-0000E4040000}"/>
    <cellStyle name="Note 6 2 5" xfId="970" xr:uid="{00000000-0005-0000-0000-0000E5040000}"/>
    <cellStyle name="Note 6 3" xfId="117" xr:uid="{00000000-0005-0000-0000-0000E6040000}"/>
    <cellStyle name="Note 6 3 2" xfId="375" xr:uid="{00000000-0005-0000-0000-0000E7040000}"/>
    <cellStyle name="Note 6 3 2 2" xfId="773" xr:uid="{00000000-0005-0000-0000-0000E8040000}"/>
    <cellStyle name="Note 6 3 2 2 2" xfId="1600" xr:uid="{00000000-0005-0000-0000-0000E9040000}"/>
    <cellStyle name="Note 6 3 2 3" xfId="1202" xr:uid="{00000000-0005-0000-0000-0000EA040000}"/>
    <cellStyle name="Note 6 3 3" xfId="261" xr:uid="{00000000-0005-0000-0000-0000EB040000}"/>
    <cellStyle name="Note 6 3 3 2" xfId="659" xr:uid="{00000000-0005-0000-0000-0000EC040000}"/>
    <cellStyle name="Note 6 3 3 2 2" xfId="1486" xr:uid="{00000000-0005-0000-0000-0000ED040000}"/>
    <cellStyle name="Note 6 3 3 3" xfId="1088" xr:uid="{00000000-0005-0000-0000-0000EE040000}"/>
    <cellStyle name="Note 6 3 4" xfId="517" xr:uid="{00000000-0005-0000-0000-0000EF040000}"/>
    <cellStyle name="Note 6 3 4 2" xfId="1344" xr:uid="{00000000-0005-0000-0000-0000F0040000}"/>
    <cellStyle name="Note 6 3 5" xfId="946" xr:uid="{00000000-0005-0000-0000-0000F1040000}"/>
    <cellStyle name="Note 6 4" xfId="206" xr:uid="{00000000-0005-0000-0000-0000F2040000}"/>
    <cellStyle name="Note 6 4 2" xfId="463" xr:uid="{00000000-0005-0000-0000-0000F3040000}"/>
    <cellStyle name="Note 6 4 2 2" xfId="861" xr:uid="{00000000-0005-0000-0000-0000F4040000}"/>
    <cellStyle name="Note 6 4 2 2 2" xfId="1688" xr:uid="{00000000-0005-0000-0000-0000F5040000}"/>
    <cellStyle name="Note 6 4 2 3" xfId="1290" xr:uid="{00000000-0005-0000-0000-0000F6040000}"/>
    <cellStyle name="Note 6 4 3" xfId="349" xr:uid="{00000000-0005-0000-0000-0000F7040000}"/>
    <cellStyle name="Note 6 4 3 2" xfId="747" xr:uid="{00000000-0005-0000-0000-0000F8040000}"/>
    <cellStyle name="Note 6 4 3 2 2" xfId="1574" xr:uid="{00000000-0005-0000-0000-0000F9040000}"/>
    <cellStyle name="Note 6 4 3 3" xfId="1176" xr:uid="{00000000-0005-0000-0000-0000FA040000}"/>
    <cellStyle name="Note 6 4 4" xfId="605" xr:uid="{00000000-0005-0000-0000-0000FB040000}"/>
    <cellStyle name="Note 6 4 4 2" xfId="1432" xr:uid="{00000000-0005-0000-0000-0000FC040000}"/>
    <cellStyle name="Note 6 4 5" xfId="1034" xr:uid="{00000000-0005-0000-0000-0000FD040000}"/>
    <cellStyle name="Note 6 5" xfId="195" xr:uid="{00000000-0005-0000-0000-0000FE040000}"/>
    <cellStyle name="Note 6 5 2" xfId="452" xr:uid="{00000000-0005-0000-0000-0000FF040000}"/>
    <cellStyle name="Note 6 5 2 2" xfId="850" xr:uid="{00000000-0005-0000-0000-000000050000}"/>
    <cellStyle name="Note 6 5 2 2 2" xfId="1677" xr:uid="{00000000-0005-0000-0000-000001050000}"/>
    <cellStyle name="Note 6 5 2 3" xfId="1279" xr:uid="{00000000-0005-0000-0000-000002050000}"/>
    <cellStyle name="Note 6 5 3" xfId="338" xr:uid="{00000000-0005-0000-0000-000003050000}"/>
    <cellStyle name="Note 6 5 3 2" xfId="736" xr:uid="{00000000-0005-0000-0000-000004050000}"/>
    <cellStyle name="Note 6 5 3 2 2" xfId="1563" xr:uid="{00000000-0005-0000-0000-000005050000}"/>
    <cellStyle name="Note 6 5 3 3" xfId="1165" xr:uid="{00000000-0005-0000-0000-000006050000}"/>
    <cellStyle name="Note 6 5 4" xfId="594" xr:uid="{00000000-0005-0000-0000-000007050000}"/>
    <cellStyle name="Note 6 5 4 2" xfId="1421" xr:uid="{00000000-0005-0000-0000-000008050000}"/>
    <cellStyle name="Note 6 5 5" xfId="1023" xr:uid="{00000000-0005-0000-0000-000009050000}"/>
    <cellStyle name="Note 6 6" xfId="232" xr:uid="{00000000-0005-0000-0000-00000A050000}"/>
    <cellStyle name="Note 6 6 2" xfId="489" xr:uid="{00000000-0005-0000-0000-00000B050000}"/>
    <cellStyle name="Note 6 6 2 2" xfId="887" xr:uid="{00000000-0005-0000-0000-00000C050000}"/>
    <cellStyle name="Note 6 6 2 2 2" xfId="1714" xr:uid="{00000000-0005-0000-0000-00000D050000}"/>
    <cellStyle name="Note 6 6 2 3" xfId="1316" xr:uid="{00000000-0005-0000-0000-00000E050000}"/>
    <cellStyle name="Note 6 6 3" xfId="631" xr:uid="{00000000-0005-0000-0000-00000F050000}"/>
    <cellStyle name="Note 6 6 3 2" xfId="1458" xr:uid="{00000000-0005-0000-0000-000010050000}"/>
    <cellStyle name="Note 6 6 4" xfId="1060" xr:uid="{00000000-0005-0000-0000-000011050000}"/>
    <cellStyle name="Note 6 7" xfId="918" xr:uid="{00000000-0005-0000-0000-000012050000}"/>
    <cellStyle name="Note 7" xfId="114" xr:uid="{00000000-0005-0000-0000-000013050000}"/>
    <cellStyle name="Note 7 2" xfId="168" xr:uid="{00000000-0005-0000-0000-000014050000}"/>
    <cellStyle name="Note 7 2 2" xfId="426" xr:uid="{00000000-0005-0000-0000-000015050000}"/>
    <cellStyle name="Note 7 2 2 2" xfId="824" xr:uid="{00000000-0005-0000-0000-000016050000}"/>
    <cellStyle name="Note 7 2 2 2 2" xfId="1651" xr:uid="{00000000-0005-0000-0000-000017050000}"/>
    <cellStyle name="Note 7 2 2 3" xfId="1253" xr:uid="{00000000-0005-0000-0000-000018050000}"/>
    <cellStyle name="Note 7 2 3" xfId="312" xr:uid="{00000000-0005-0000-0000-000019050000}"/>
    <cellStyle name="Note 7 2 3 2" xfId="710" xr:uid="{00000000-0005-0000-0000-00001A050000}"/>
    <cellStyle name="Note 7 2 3 2 2" xfId="1537" xr:uid="{00000000-0005-0000-0000-00001B050000}"/>
    <cellStyle name="Note 7 2 3 3" xfId="1139" xr:uid="{00000000-0005-0000-0000-00001C050000}"/>
    <cellStyle name="Note 7 2 4" xfId="568" xr:uid="{00000000-0005-0000-0000-00001D050000}"/>
    <cellStyle name="Note 7 2 4 2" xfId="1395" xr:uid="{00000000-0005-0000-0000-00001E050000}"/>
    <cellStyle name="Note 7 2 5" xfId="997" xr:uid="{00000000-0005-0000-0000-00001F050000}"/>
    <cellStyle name="Note 7 3" xfId="155" xr:uid="{00000000-0005-0000-0000-000020050000}"/>
    <cellStyle name="Note 7 3 2" xfId="413" xr:uid="{00000000-0005-0000-0000-000021050000}"/>
    <cellStyle name="Note 7 3 2 2" xfId="811" xr:uid="{00000000-0005-0000-0000-000022050000}"/>
    <cellStyle name="Note 7 3 2 2 2" xfId="1638" xr:uid="{00000000-0005-0000-0000-000023050000}"/>
    <cellStyle name="Note 7 3 2 3" xfId="1240" xr:uid="{00000000-0005-0000-0000-000024050000}"/>
    <cellStyle name="Note 7 3 3" xfId="299" xr:uid="{00000000-0005-0000-0000-000025050000}"/>
    <cellStyle name="Note 7 3 3 2" xfId="697" xr:uid="{00000000-0005-0000-0000-000026050000}"/>
    <cellStyle name="Note 7 3 3 2 2" xfId="1524" xr:uid="{00000000-0005-0000-0000-000027050000}"/>
    <cellStyle name="Note 7 3 3 3" xfId="1126" xr:uid="{00000000-0005-0000-0000-000028050000}"/>
    <cellStyle name="Note 7 3 4" xfId="555" xr:uid="{00000000-0005-0000-0000-000029050000}"/>
    <cellStyle name="Note 7 3 4 2" xfId="1382" xr:uid="{00000000-0005-0000-0000-00002A050000}"/>
    <cellStyle name="Note 7 3 5" xfId="984" xr:uid="{00000000-0005-0000-0000-00002B050000}"/>
    <cellStyle name="Note 7 4" xfId="372" xr:uid="{00000000-0005-0000-0000-00002C050000}"/>
    <cellStyle name="Note 7 4 2" xfId="770" xr:uid="{00000000-0005-0000-0000-00002D050000}"/>
    <cellStyle name="Note 7 4 2 2" xfId="1597" xr:uid="{00000000-0005-0000-0000-00002E050000}"/>
    <cellStyle name="Note 7 4 3" xfId="1199" xr:uid="{00000000-0005-0000-0000-00002F050000}"/>
    <cellStyle name="Note 7 5" xfId="258" xr:uid="{00000000-0005-0000-0000-000030050000}"/>
    <cellStyle name="Note 7 5 2" xfId="656" xr:uid="{00000000-0005-0000-0000-000031050000}"/>
    <cellStyle name="Note 7 5 2 2" xfId="1483" xr:uid="{00000000-0005-0000-0000-000032050000}"/>
    <cellStyle name="Note 7 5 3" xfId="1085" xr:uid="{00000000-0005-0000-0000-000033050000}"/>
    <cellStyle name="Note 7 6" xfId="514" xr:uid="{00000000-0005-0000-0000-000034050000}"/>
    <cellStyle name="Note 7 6 2" xfId="1341" xr:uid="{00000000-0005-0000-0000-000035050000}"/>
    <cellStyle name="Note 7 7" xfId="943" xr:uid="{00000000-0005-0000-0000-000036050000}"/>
    <cellStyle name="Note 8" xfId="111" xr:uid="{00000000-0005-0000-0000-000037050000}"/>
    <cellStyle name="Note 8 2" xfId="165" xr:uid="{00000000-0005-0000-0000-000038050000}"/>
    <cellStyle name="Note 8 2 2" xfId="423" xr:uid="{00000000-0005-0000-0000-000039050000}"/>
    <cellStyle name="Note 8 2 2 2" xfId="821" xr:uid="{00000000-0005-0000-0000-00003A050000}"/>
    <cellStyle name="Note 8 2 2 2 2" xfId="1648" xr:uid="{00000000-0005-0000-0000-00003B050000}"/>
    <cellStyle name="Note 8 2 2 3" xfId="1250" xr:uid="{00000000-0005-0000-0000-00003C050000}"/>
    <cellStyle name="Note 8 2 3" xfId="309" xr:uid="{00000000-0005-0000-0000-00003D050000}"/>
    <cellStyle name="Note 8 2 3 2" xfId="707" xr:uid="{00000000-0005-0000-0000-00003E050000}"/>
    <cellStyle name="Note 8 2 3 2 2" xfId="1534" xr:uid="{00000000-0005-0000-0000-00003F050000}"/>
    <cellStyle name="Note 8 2 3 3" xfId="1136" xr:uid="{00000000-0005-0000-0000-000040050000}"/>
    <cellStyle name="Note 8 2 4" xfId="565" xr:uid="{00000000-0005-0000-0000-000041050000}"/>
    <cellStyle name="Note 8 2 4 2" xfId="1392" xr:uid="{00000000-0005-0000-0000-000042050000}"/>
    <cellStyle name="Note 8 2 5" xfId="994" xr:uid="{00000000-0005-0000-0000-000043050000}"/>
    <cellStyle name="Note 8 3" xfId="369" xr:uid="{00000000-0005-0000-0000-000044050000}"/>
    <cellStyle name="Note 8 3 2" xfId="767" xr:uid="{00000000-0005-0000-0000-000045050000}"/>
    <cellStyle name="Note 8 3 2 2" xfId="1594" xr:uid="{00000000-0005-0000-0000-000046050000}"/>
    <cellStyle name="Note 8 3 3" xfId="1196" xr:uid="{00000000-0005-0000-0000-000047050000}"/>
    <cellStyle name="Note 8 4" xfId="255" xr:uid="{00000000-0005-0000-0000-000048050000}"/>
    <cellStyle name="Note 8 4 2" xfId="653" xr:uid="{00000000-0005-0000-0000-000049050000}"/>
    <cellStyle name="Note 8 4 2 2" xfId="1480" xr:uid="{00000000-0005-0000-0000-00004A050000}"/>
    <cellStyle name="Note 8 4 3" xfId="1082" xr:uid="{00000000-0005-0000-0000-00004B050000}"/>
    <cellStyle name="Note 8 5" xfId="511" xr:uid="{00000000-0005-0000-0000-00004C050000}"/>
    <cellStyle name="Note 8 5 2" xfId="1338" xr:uid="{00000000-0005-0000-0000-00004D050000}"/>
    <cellStyle name="Note 8 6" xfId="940" xr:uid="{00000000-0005-0000-0000-00004E050000}"/>
    <cellStyle name="Note 9" xfId="172" xr:uid="{00000000-0005-0000-0000-00004F050000}"/>
    <cellStyle name="Note 9 2" xfId="430" xr:uid="{00000000-0005-0000-0000-000050050000}"/>
    <cellStyle name="Note 9 2 2" xfId="828" xr:uid="{00000000-0005-0000-0000-000051050000}"/>
    <cellStyle name="Note 9 2 2 2" xfId="1655" xr:uid="{00000000-0005-0000-0000-000052050000}"/>
    <cellStyle name="Note 9 2 3" xfId="1257" xr:uid="{00000000-0005-0000-0000-000053050000}"/>
    <cellStyle name="Note 9 3" xfId="316" xr:uid="{00000000-0005-0000-0000-000054050000}"/>
    <cellStyle name="Note 9 3 2" xfId="714" xr:uid="{00000000-0005-0000-0000-000055050000}"/>
    <cellStyle name="Note 9 3 2 2" xfId="1541" xr:uid="{00000000-0005-0000-0000-000056050000}"/>
    <cellStyle name="Note 9 3 3" xfId="1143" xr:uid="{00000000-0005-0000-0000-000057050000}"/>
    <cellStyle name="Note 9 4" xfId="572" xr:uid="{00000000-0005-0000-0000-000058050000}"/>
    <cellStyle name="Note 9 4 2" xfId="1399" xr:uid="{00000000-0005-0000-0000-000059050000}"/>
    <cellStyle name="Note 9 5" xfId="1001" xr:uid="{00000000-0005-0000-0000-00005A050000}"/>
    <cellStyle name="Output" xfId="57" xr:uid="{00000000-0005-0000-0000-00005B050000}"/>
    <cellStyle name="Output 10" xfId="176" xr:uid="{00000000-0005-0000-0000-00005C050000}"/>
    <cellStyle name="Output 10 2" xfId="433" xr:uid="{00000000-0005-0000-0000-00005D050000}"/>
    <cellStyle name="Output 10 2 2" xfId="831" xr:uid="{00000000-0005-0000-0000-00005E050000}"/>
    <cellStyle name="Output 10 2 2 2" xfId="1658" xr:uid="{00000000-0005-0000-0000-00005F050000}"/>
    <cellStyle name="Output 10 2 3" xfId="1260" xr:uid="{00000000-0005-0000-0000-000060050000}"/>
    <cellStyle name="Output 10 3" xfId="319" xr:uid="{00000000-0005-0000-0000-000061050000}"/>
    <cellStyle name="Output 10 3 2" xfId="717" xr:uid="{00000000-0005-0000-0000-000062050000}"/>
    <cellStyle name="Output 10 3 2 2" xfId="1544" xr:uid="{00000000-0005-0000-0000-000063050000}"/>
    <cellStyle name="Output 10 3 3" xfId="1146" xr:uid="{00000000-0005-0000-0000-000064050000}"/>
    <cellStyle name="Output 10 4" xfId="575" xr:uid="{00000000-0005-0000-0000-000065050000}"/>
    <cellStyle name="Output 10 4 2" xfId="1402" xr:uid="{00000000-0005-0000-0000-000066050000}"/>
    <cellStyle name="Output 10 5" xfId="1004" xr:uid="{00000000-0005-0000-0000-000067050000}"/>
    <cellStyle name="Output 11" xfId="183" xr:uid="{00000000-0005-0000-0000-000068050000}"/>
    <cellStyle name="Output 11 2" xfId="440" xr:uid="{00000000-0005-0000-0000-000069050000}"/>
    <cellStyle name="Output 11 2 2" xfId="838" xr:uid="{00000000-0005-0000-0000-00006A050000}"/>
    <cellStyle name="Output 11 2 2 2" xfId="1665" xr:uid="{00000000-0005-0000-0000-00006B050000}"/>
    <cellStyle name="Output 11 2 3" xfId="1267" xr:uid="{00000000-0005-0000-0000-00006C050000}"/>
    <cellStyle name="Output 11 3" xfId="326" xr:uid="{00000000-0005-0000-0000-00006D050000}"/>
    <cellStyle name="Output 11 3 2" xfId="724" xr:uid="{00000000-0005-0000-0000-00006E050000}"/>
    <cellStyle name="Output 11 3 2 2" xfId="1551" xr:uid="{00000000-0005-0000-0000-00006F050000}"/>
    <cellStyle name="Output 11 3 3" xfId="1153" xr:uid="{00000000-0005-0000-0000-000070050000}"/>
    <cellStyle name="Output 11 4" xfId="582" xr:uid="{00000000-0005-0000-0000-000071050000}"/>
    <cellStyle name="Output 11 4 2" xfId="1409" xr:uid="{00000000-0005-0000-0000-000072050000}"/>
    <cellStyle name="Output 11 5" xfId="1011" xr:uid="{00000000-0005-0000-0000-000073050000}"/>
    <cellStyle name="Output 12" xfId="228" xr:uid="{00000000-0005-0000-0000-000074050000}"/>
    <cellStyle name="Output 12 2" xfId="485" xr:uid="{00000000-0005-0000-0000-000075050000}"/>
    <cellStyle name="Output 12 2 2" xfId="883" xr:uid="{00000000-0005-0000-0000-000076050000}"/>
    <cellStyle name="Output 12 2 2 2" xfId="1710" xr:uid="{00000000-0005-0000-0000-000077050000}"/>
    <cellStyle name="Output 12 2 3" xfId="1312" xr:uid="{00000000-0005-0000-0000-000078050000}"/>
    <cellStyle name="Output 12 3" xfId="627" xr:uid="{00000000-0005-0000-0000-000079050000}"/>
    <cellStyle name="Output 12 3 2" xfId="1454" xr:uid="{00000000-0005-0000-0000-00007A050000}"/>
    <cellStyle name="Output 12 4" xfId="1056" xr:uid="{00000000-0005-0000-0000-00007B050000}"/>
    <cellStyle name="Output 13" xfId="914" xr:uid="{00000000-0005-0000-0000-00007C050000}"/>
    <cellStyle name="Output 2" xfId="75" xr:uid="{00000000-0005-0000-0000-00007D050000}"/>
    <cellStyle name="Output 2 2" xfId="99" xr:uid="{00000000-0005-0000-0000-00007E050000}"/>
    <cellStyle name="Output 2 2 2" xfId="152" xr:uid="{00000000-0005-0000-0000-00007F050000}"/>
    <cellStyle name="Output 2 2 2 2" xfId="410" xr:uid="{00000000-0005-0000-0000-000080050000}"/>
    <cellStyle name="Output 2 2 2 2 2" xfId="808" xr:uid="{00000000-0005-0000-0000-000081050000}"/>
    <cellStyle name="Output 2 2 2 2 2 2" xfId="1635" xr:uid="{00000000-0005-0000-0000-000082050000}"/>
    <cellStyle name="Output 2 2 2 2 3" xfId="1237" xr:uid="{00000000-0005-0000-0000-000083050000}"/>
    <cellStyle name="Output 2 2 2 3" xfId="296" xr:uid="{00000000-0005-0000-0000-000084050000}"/>
    <cellStyle name="Output 2 2 2 3 2" xfId="694" xr:uid="{00000000-0005-0000-0000-000085050000}"/>
    <cellStyle name="Output 2 2 2 3 2 2" xfId="1521" xr:uid="{00000000-0005-0000-0000-000086050000}"/>
    <cellStyle name="Output 2 2 2 3 3" xfId="1123" xr:uid="{00000000-0005-0000-0000-000087050000}"/>
    <cellStyle name="Output 2 2 2 4" xfId="552" xr:uid="{00000000-0005-0000-0000-000088050000}"/>
    <cellStyle name="Output 2 2 2 4 2" xfId="1379" xr:uid="{00000000-0005-0000-0000-000089050000}"/>
    <cellStyle name="Output 2 2 2 5" xfId="981" xr:uid="{00000000-0005-0000-0000-00008A050000}"/>
    <cellStyle name="Output 2 2 3" xfId="242" xr:uid="{00000000-0005-0000-0000-00008B050000}"/>
    <cellStyle name="Output 2 2 3 2" xfId="499" xr:uid="{00000000-0005-0000-0000-00008C050000}"/>
    <cellStyle name="Output 2 2 3 2 2" xfId="897" xr:uid="{00000000-0005-0000-0000-00008D050000}"/>
    <cellStyle name="Output 2 2 3 2 2 2" xfId="1724" xr:uid="{00000000-0005-0000-0000-00008E050000}"/>
    <cellStyle name="Output 2 2 3 2 3" xfId="1326" xr:uid="{00000000-0005-0000-0000-00008F050000}"/>
    <cellStyle name="Output 2 2 3 3" xfId="641" xr:uid="{00000000-0005-0000-0000-000090050000}"/>
    <cellStyle name="Output 2 2 3 3 2" xfId="1468" xr:uid="{00000000-0005-0000-0000-000091050000}"/>
    <cellStyle name="Output 2 2 3 4" xfId="1070" xr:uid="{00000000-0005-0000-0000-000092050000}"/>
    <cellStyle name="Output 2 2 4" xfId="928" xr:uid="{00000000-0005-0000-0000-000093050000}"/>
    <cellStyle name="Output 2 3" xfId="127" xr:uid="{00000000-0005-0000-0000-000094050000}"/>
    <cellStyle name="Output 2 3 2" xfId="385" xr:uid="{00000000-0005-0000-0000-000095050000}"/>
    <cellStyle name="Output 2 3 2 2" xfId="783" xr:uid="{00000000-0005-0000-0000-000096050000}"/>
    <cellStyle name="Output 2 3 2 2 2" xfId="1610" xr:uid="{00000000-0005-0000-0000-000097050000}"/>
    <cellStyle name="Output 2 3 2 3" xfId="1212" xr:uid="{00000000-0005-0000-0000-000098050000}"/>
    <cellStyle name="Output 2 3 3" xfId="271" xr:uid="{00000000-0005-0000-0000-000099050000}"/>
    <cellStyle name="Output 2 3 3 2" xfId="669" xr:uid="{00000000-0005-0000-0000-00009A050000}"/>
    <cellStyle name="Output 2 3 3 2 2" xfId="1496" xr:uid="{00000000-0005-0000-0000-00009B050000}"/>
    <cellStyle name="Output 2 3 3 3" xfId="1098" xr:uid="{00000000-0005-0000-0000-00009C050000}"/>
    <cellStyle name="Output 2 3 4" xfId="527" xr:uid="{00000000-0005-0000-0000-00009D050000}"/>
    <cellStyle name="Output 2 3 4 2" xfId="1354" xr:uid="{00000000-0005-0000-0000-00009E050000}"/>
    <cellStyle name="Output 2 3 5" xfId="956" xr:uid="{00000000-0005-0000-0000-00009F050000}"/>
    <cellStyle name="Output 2 4" xfId="187" xr:uid="{00000000-0005-0000-0000-0000A0050000}"/>
    <cellStyle name="Output 2 4 2" xfId="444" xr:uid="{00000000-0005-0000-0000-0000A1050000}"/>
    <cellStyle name="Output 2 4 2 2" xfId="842" xr:uid="{00000000-0005-0000-0000-0000A2050000}"/>
    <cellStyle name="Output 2 4 2 2 2" xfId="1669" xr:uid="{00000000-0005-0000-0000-0000A3050000}"/>
    <cellStyle name="Output 2 4 2 3" xfId="1271" xr:uid="{00000000-0005-0000-0000-0000A4050000}"/>
    <cellStyle name="Output 2 4 3" xfId="330" xr:uid="{00000000-0005-0000-0000-0000A5050000}"/>
    <cellStyle name="Output 2 4 3 2" xfId="728" xr:uid="{00000000-0005-0000-0000-0000A6050000}"/>
    <cellStyle name="Output 2 4 3 2 2" xfId="1555" xr:uid="{00000000-0005-0000-0000-0000A7050000}"/>
    <cellStyle name="Output 2 4 3 3" xfId="1157" xr:uid="{00000000-0005-0000-0000-0000A8050000}"/>
    <cellStyle name="Output 2 4 4" xfId="586" xr:uid="{00000000-0005-0000-0000-0000A9050000}"/>
    <cellStyle name="Output 2 4 4 2" xfId="1413" xr:uid="{00000000-0005-0000-0000-0000AA050000}"/>
    <cellStyle name="Output 2 4 5" xfId="1015" xr:uid="{00000000-0005-0000-0000-0000AB050000}"/>
    <cellStyle name="Output 2 5" xfId="205" xr:uid="{00000000-0005-0000-0000-0000AC050000}"/>
    <cellStyle name="Output 2 5 2" xfId="462" xr:uid="{00000000-0005-0000-0000-0000AD050000}"/>
    <cellStyle name="Output 2 5 2 2" xfId="860" xr:uid="{00000000-0005-0000-0000-0000AE050000}"/>
    <cellStyle name="Output 2 5 2 2 2" xfId="1687" xr:uid="{00000000-0005-0000-0000-0000AF050000}"/>
    <cellStyle name="Output 2 5 2 3" xfId="1289" xr:uid="{00000000-0005-0000-0000-0000B0050000}"/>
    <cellStyle name="Output 2 5 3" xfId="348" xr:uid="{00000000-0005-0000-0000-0000B1050000}"/>
    <cellStyle name="Output 2 5 3 2" xfId="746" xr:uid="{00000000-0005-0000-0000-0000B2050000}"/>
    <cellStyle name="Output 2 5 3 2 2" xfId="1573" xr:uid="{00000000-0005-0000-0000-0000B3050000}"/>
    <cellStyle name="Output 2 5 3 3" xfId="1175" xr:uid="{00000000-0005-0000-0000-0000B4050000}"/>
    <cellStyle name="Output 2 5 4" xfId="604" xr:uid="{00000000-0005-0000-0000-0000B5050000}"/>
    <cellStyle name="Output 2 5 4 2" xfId="1431" xr:uid="{00000000-0005-0000-0000-0000B6050000}"/>
    <cellStyle name="Output 2 5 5" xfId="1033" xr:uid="{00000000-0005-0000-0000-0000B7050000}"/>
    <cellStyle name="Output 2 6" xfId="229" xr:uid="{00000000-0005-0000-0000-0000B8050000}"/>
    <cellStyle name="Output 2 6 2" xfId="486" xr:uid="{00000000-0005-0000-0000-0000B9050000}"/>
    <cellStyle name="Output 2 6 2 2" xfId="884" xr:uid="{00000000-0005-0000-0000-0000BA050000}"/>
    <cellStyle name="Output 2 6 2 2 2" xfId="1711" xr:uid="{00000000-0005-0000-0000-0000BB050000}"/>
    <cellStyle name="Output 2 6 2 3" xfId="1313" xr:uid="{00000000-0005-0000-0000-0000BC050000}"/>
    <cellStyle name="Output 2 6 3" xfId="628" xr:uid="{00000000-0005-0000-0000-0000BD050000}"/>
    <cellStyle name="Output 2 6 3 2" xfId="1455" xr:uid="{00000000-0005-0000-0000-0000BE050000}"/>
    <cellStyle name="Output 2 6 4" xfId="1057" xr:uid="{00000000-0005-0000-0000-0000BF050000}"/>
    <cellStyle name="Output 2 7" xfId="915" xr:uid="{00000000-0005-0000-0000-0000C0050000}"/>
    <cellStyle name="Output 3" xfId="93" xr:uid="{00000000-0005-0000-0000-0000C1050000}"/>
    <cellStyle name="Output 3 2" xfId="121" xr:uid="{00000000-0005-0000-0000-0000C2050000}"/>
    <cellStyle name="Output 3 2 2" xfId="379" xr:uid="{00000000-0005-0000-0000-0000C3050000}"/>
    <cellStyle name="Output 3 2 2 2" xfId="777" xr:uid="{00000000-0005-0000-0000-0000C4050000}"/>
    <cellStyle name="Output 3 2 2 2 2" xfId="1604" xr:uid="{00000000-0005-0000-0000-0000C5050000}"/>
    <cellStyle name="Output 3 2 2 3" xfId="1206" xr:uid="{00000000-0005-0000-0000-0000C6050000}"/>
    <cellStyle name="Output 3 2 3" xfId="265" xr:uid="{00000000-0005-0000-0000-0000C7050000}"/>
    <cellStyle name="Output 3 2 3 2" xfId="663" xr:uid="{00000000-0005-0000-0000-0000C8050000}"/>
    <cellStyle name="Output 3 2 3 2 2" xfId="1490" xr:uid="{00000000-0005-0000-0000-0000C9050000}"/>
    <cellStyle name="Output 3 2 3 3" xfId="1092" xr:uid="{00000000-0005-0000-0000-0000CA050000}"/>
    <cellStyle name="Output 3 2 4" xfId="521" xr:uid="{00000000-0005-0000-0000-0000CB050000}"/>
    <cellStyle name="Output 3 2 4 2" xfId="1348" xr:uid="{00000000-0005-0000-0000-0000CC050000}"/>
    <cellStyle name="Output 3 2 5" xfId="950" xr:uid="{00000000-0005-0000-0000-0000CD050000}"/>
    <cellStyle name="Output 3 3" xfId="209" xr:uid="{00000000-0005-0000-0000-0000CE050000}"/>
    <cellStyle name="Output 3 3 2" xfId="466" xr:uid="{00000000-0005-0000-0000-0000CF050000}"/>
    <cellStyle name="Output 3 3 2 2" xfId="864" xr:uid="{00000000-0005-0000-0000-0000D0050000}"/>
    <cellStyle name="Output 3 3 2 2 2" xfId="1691" xr:uid="{00000000-0005-0000-0000-0000D1050000}"/>
    <cellStyle name="Output 3 3 2 3" xfId="1293" xr:uid="{00000000-0005-0000-0000-0000D2050000}"/>
    <cellStyle name="Output 3 3 3" xfId="352" xr:uid="{00000000-0005-0000-0000-0000D3050000}"/>
    <cellStyle name="Output 3 3 3 2" xfId="750" xr:uid="{00000000-0005-0000-0000-0000D4050000}"/>
    <cellStyle name="Output 3 3 3 2 2" xfId="1577" xr:uid="{00000000-0005-0000-0000-0000D5050000}"/>
    <cellStyle name="Output 3 3 3 3" xfId="1179" xr:uid="{00000000-0005-0000-0000-0000D6050000}"/>
    <cellStyle name="Output 3 3 4" xfId="608" xr:uid="{00000000-0005-0000-0000-0000D7050000}"/>
    <cellStyle name="Output 3 3 4 2" xfId="1435" xr:uid="{00000000-0005-0000-0000-0000D8050000}"/>
    <cellStyle name="Output 3 3 5" xfId="1037" xr:uid="{00000000-0005-0000-0000-0000D9050000}"/>
    <cellStyle name="Output 3 4" xfId="199" xr:uid="{00000000-0005-0000-0000-0000DA050000}"/>
    <cellStyle name="Output 3 4 2" xfId="456" xr:uid="{00000000-0005-0000-0000-0000DB050000}"/>
    <cellStyle name="Output 3 4 2 2" xfId="854" xr:uid="{00000000-0005-0000-0000-0000DC050000}"/>
    <cellStyle name="Output 3 4 2 2 2" xfId="1681" xr:uid="{00000000-0005-0000-0000-0000DD050000}"/>
    <cellStyle name="Output 3 4 2 3" xfId="1283" xr:uid="{00000000-0005-0000-0000-0000DE050000}"/>
    <cellStyle name="Output 3 4 3" xfId="342" xr:uid="{00000000-0005-0000-0000-0000DF050000}"/>
    <cellStyle name="Output 3 4 3 2" xfId="740" xr:uid="{00000000-0005-0000-0000-0000E0050000}"/>
    <cellStyle name="Output 3 4 3 2 2" xfId="1567" xr:uid="{00000000-0005-0000-0000-0000E1050000}"/>
    <cellStyle name="Output 3 4 3 3" xfId="1169" xr:uid="{00000000-0005-0000-0000-0000E2050000}"/>
    <cellStyle name="Output 3 4 4" xfId="598" xr:uid="{00000000-0005-0000-0000-0000E3050000}"/>
    <cellStyle name="Output 3 4 4 2" xfId="1425" xr:uid="{00000000-0005-0000-0000-0000E4050000}"/>
    <cellStyle name="Output 3 4 5" xfId="1027" xr:uid="{00000000-0005-0000-0000-0000E5050000}"/>
    <cellStyle name="Output 3 5" xfId="236" xr:uid="{00000000-0005-0000-0000-0000E6050000}"/>
    <cellStyle name="Output 3 5 2" xfId="493" xr:uid="{00000000-0005-0000-0000-0000E7050000}"/>
    <cellStyle name="Output 3 5 2 2" xfId="891" xr:uid="{00000000-0005-0000-0000-0000E8050000}"/>
    <cellStyle name="Output 3 5 2 2 2" xfId="1718" xr:uid="{00000000-0005-0000-0000-0000E9050000}"/>
    <cellStyle name="Output 3 5 2 3" xfId="1320" xr:uid="{00000000-0005-0000-0000-0000EA050000}"/>
    <cellStyle name="Output 3 5 3" xfId="635" xr:uid="{00000000-0005-0000-0000-0000EB050000}"/>
    <cellStyle name="Output 3 5 3 2" xfId="1462" xr:uid="{00000000-0005-0000-0000-0000EC050000}"/>
    <cellStyle name="Output 3 5 4" xfId="1064" xr:uid="{00000000-0005-0000-0000-0000ED050000}"/>
    <cellStyle name="Output 3 6" xfId="922" xr:uid="{00000000-0005-0000-0000-0000EE050000}"/>
    <cellStyle name="Output 4" xfId="102" xr:uid="{00000000-0005-0000-0000-0000EF050000}"/>
    <cellStyle name="Output 4 2" xfId="130" xr:uid="{00000000-0005-0000-0000-0000F0050000}"/>
    <cellStyle name="Output 4 2 2" xfId="388" xr:uid="{00000000-0005-0000-0000-0000F1050000}"/>
    <cellStyle name="Output 4 2 2 2" xfId="786" xr:uid="{00000000-0005-0000-0000-0000F2050000}"/>
    <cellStyle name="Output 4 2 2 2 2" xfId="1613" xr:uid="{00000000-0005-0000-0000-0000F3050000}"/>
    <cellStyle name="Output 4 2 2 3" xfId="1215" xr:uid="{00000000-0005-0000-0000-0000F4050000}"/>
    <cellStyle name="Output 4 2 3" xfId="274" xr:uid="{00000000-0005-0000-0000-0000F5050000}"/>
    <cellStyle name="Output 4 2 3 2" xfId="672" xr:uid="{00000000-0005-0000-0000-0000F6050000}"/>
    <cellStyle name="Output 4 2 3 2 2" xfId="1499" xr:uid="{00000000-0005-0000-0000-0000F7050000}"/>
    <cellStyle name="Output 4 2 3 3" xfId="1101" xr:uid="{00000000-0005-0000-0000-0000F8050000}"/>
    <cellStyle name="Output 4 2 4" xfId="530" xr:uid="{00000000-0005-0000-0000-0000F9050000}"/>
    <cellStyle name="Output 4 2 4 2" xfId="1357" xr:uid="{00000000-0005-0000-0000-0000FA050000}"/>
    <cellStyle name="Output 4 2 5" xfId="959" xr:uid="{00000000-0005-0000-0000-0000FB050000}"/>
    <cellStyle name="Output 4 3" xfId="217" xr:uid="{00000000-0005-0000-0000-0000FC050000}"/>
    <cellStyle name="Output 4 3 2" xfId="474" xr:uid="{00000000-0005-0000-0000-0000FD050000}"/>
    <cellStyle name="Output 4 3 2 2" xfId="872" xr:uid="{00000000-0005-0000-0000-0000FE050000}"/>
    <cellStyle name="Output 4 3 2 2 2" xfId="1699" xr:uid="{00000000-0005-0000-0000-0000FF050000}"/>
    <cellStyle name="Output 4 3 2 3" xfId="1301" xr:uid="{00000000-0005-0000-0000-000000060000}"/>
    <cellStyle name="Output 4 3 3" xfId="360" xr:uid="{00000000-0005-0000-0000-000001060000}"/>
    <cellStyle name="Output 4 3 3 2" xfId="758" xr:uid="{00000000-0005-0000-0000-000002060000}"/>
    <cellStyle name="Output 4 3 3 2 2" xfId="1585" xr:uid="{00000000-0005-0000-0000-000003060000}"/>
    <cellStyle name="Output 4 3 3 3" xfId="1187" xr:uid="{00000000-0005-0000-0000-000004060000}"/>
    <cellStyle name="Output 4 3 4" xfId="616" xr:uid="{00000000-0005-0000-0000-000005060000}"/>
    <cellStyle name="Output 4 3 4 2" xfId="1443" xr:uid="{00000000-0005-0000-0000-000006060000}"/>
    <cellStyle name="Output 4 3 5" xfId="1045" xr:uid="{00000000-0005-0000-0000-000007060000}"/>
    <cellStyle name="Output 4 4" xfId="191" xr:uid="{00000000-0005-0000-0000-000008060000}"/>
    <cellStyle name="Output 4 4 2" xfId="448" xr:uid="{00000000-0005-0000-0000-000009060000}"/>
    <cellStyle name="Output 4 4 2 2" xfId="846" xr:uid="{00000000-0005-0000-0000-00000A060000}"/>
    <cellStyle name="Output 4 4 2 2 2" xfId="1673" xr:uid="{00000000-0005-0000-0000-00000B060000}"/>
    <cellStyle name="Output 4 4 2 3" xfId="1275" xr:uid="{00000000-0005-0000-0000-00000C060000}"/>
    <cellStyle name="Output 4 4 3" xfId="334" xr:uid="{00000000-0005-0000-0000-00000D060000}"/>
    <cellStyle name="Output 4 4 3 2" xfId="732" xr:uid="{00000000-0005-0000-0000-00000E060000}"/>
    <cellStyle name="Output 4 4 3 2 2" xfId="1559" xr:uid="{00000000-0005-0000-0000-00000F060000}"/>
    <cellStyle name="Output 4 4 3 3" xfId="1161" xr:uid="{00000000-0005-0000-0000-000010060000}"/>
    <cellStyle name="Output 4 4 4" xfId="590" xr:uid="{00000000-0005-0000-0000-000011060000}"/>
    <cellStyle name="Output 4 4 4 2" xfId="1417" xr:uid="{00000000-0005-0000-0000-000012060000}"/>
    <cellStyle name="Output 4 4 5" xfId="1019" xr:uid="{00000000-0005-0000-0000-000013060000}"/>
    <cellStyle name="Output 4 5" xfId="245" xr:uid="{00000000-0005-0000-0000-000014060000}"/>
    <cellStyle name="Output 4 5 2" xfId="502" xr:uid="{00000000-0005-0000-0000-000015060000}"/>
    <cellStyle name="Output 4 5 2 2" xfId="900" xr:uid="{00000000-0005-0000-0000-000016060000}"/>
    <cellStyle name="Output 4 5 2 2 2" xfId="1727" xr:uid="{00000000-0005-0000-0000-000017060000}"/>
    <cellStyle name="Output 4 5 2 3" xfId="1329" xr:uid="{00000000-0005-0000-0000-000018060000}"/>
    <cellStyle name="Output 4 5 3" xfId="644" xr:uid="{00000000-0005-0000-0000-000019060000}"/>
    <cellStyle name="Output 4 5 3 2" xfId="1471" xr:uid="{00000000-0005-0000-0000-00001A060000}"/>
    <cellStyle name="Output 4 5 4" xfId="1073" xr:uid="{00000000-0005-0000-0000-00001B060000}"/>
    <cellStyle name="Output 4 6" xfId="931" xr:uid="{00000000-0005-0000-0000-00001C060000}"/>
    <cellStyle name="Output 5" xfId="101" xr:uid="{00000000-0005-0000-0000-00001D060000}"/>
    <cellStyle name="Output 5 2" xfId="129" xr:uid="{00000000-0005-0000-0000-00001E060000}"/>
    <cellStyle name="Output 5 2 2" xfId="387" xr:uid="{00000000-0005-0000-0000-00001F060000}"/>
    <cellStyle name="Output 5 2 2 2" xfId="785" xr:uid="{00000000-0005-0000-0000-000020060000}"/>
    <cellStyle name="Output 5 2 2 2 2" xfId="1612" xr:uid="{00000000-0005-0000-0000-000021060000}"/>
    <cellStyle name="Output 5 2 2 3" xfId="1214" xr:uid="{00000000-0005-0000-0000-000022060000}"/>
    <cellStyle name="Output 5 2 3" xfId="273" xr:uid="{00000000-0005-0000-0000-000023060000}"/>
    <cellStyle name="Output 5 2 3 2" xfId="671" xr:uid="{00000000-0005-0000-0000-000024060000}"/>
    <cellStyle name="Output 5 2 3 2 2" xfId="1498" xr:uid="{00000000-0005-0000-0000-000025060000}"/>
    <cellStyle name="Output 5 2 3 3" xfId="1100" xr:uid="{00000000-0005-0000-0000-000026060000}"/>
    <cellStyle name="Output 5 2 4" xfId="529" xr:uid="{00000000-0005-0000-0000-000027060000}"/>
    <cellStyle name="Output 5 2 4 2" xfId="1356" xr:uid="{00000000-0005-0000-0000-000028060000}"/>
    <cellStyle name="Output 5 2 5" xfId="958" xr:uid="{00000000-0005-0000-0000-000029060000}"/>
    <cellStyle name="Output 5 3" xfId="216" xr:uid="{00000000-0005-0000-0000-00002A060000}"/>
    <cellStyle name="Output 5 3 2" xfId="473" xr:uid="{00000000-0005-0000-0000-00002B060000}"/>
    <cellStyle name="Output 5 3 2 2" xfId="871" xr:uid="{00000000-0005-0000-0000-00002C060000}"/>
    <cellStyle name="Output 5 3 2 2 2" xfId="1698" xr:uid="{00000000-0005-0000-0000-00002D060000}"/>
    <cellStyle name="Output 5 3 2 3" xfId="1300" xr:uid="{00000000-0005-0000-0000-00002E060000}"/>
    <cellStyle name="Output 5 3 3" xfId="359" xr:uid="{00000000-0005-0000-0000-00002F060000}"/>
    <cellStyle name="Output 5 3 3 2" xfId="757" xr:uid="{00000000-0005-0000-0000-000030060000}"/>
    <cellStyle name="Output 5 3 3 2 2" xfId="1584" xr:uid="{00000000-0005-0000-0000-000031060000}"/>
    <cellStyle name="Output 5 3 3 3" xfId="1186" xr:uid="{00000000-0005-0000-0000-000032060000}"/>
    <cellStyle name="Output 5 3 4" xfId="615" xr:uid="{00000000-0005-0000-0000-000033060000}"/>
    <cellStyle name="Output 5 3 4 2" xfId="1442" xr:uid="{00000000-0005-0000-0000-000034060000}"/>
    <cellStyle name="Output 5 3 5" xfId="1044" xr:uid="{00000000-0005-0000-0000-000035060000}"/>
    <cellStyle name="Output 5 4" xfId="213" xr:uid="{00000000-0005-0000-0000-000036060000}"/>
    <cellStyle name="Output 5 4 2" xfId="470" xr:uid="{00000000-0005-0000-0000-000037060000}"/>
    <cellStyle name="Output 5 4 2 2" xfId="868" xr:uid="{00000000-0005-0000-0000-000038060000}"/>
    <cellStyle name="Output 5 4 2 2 2" xfId="1695" xr:uid="{00000000-0005-0000-0000-000039060000}"/>
    <cellStyle name="Output 5 4 2 3" xfId="1297" xr:uid="{00000000-0005-0000-0000-00003A060000}"/>
    <cellStyle name="Output 5 4 3" xfId="356" xr:uid="{00000000-0005-0000-0000-00003B060000}"/>
    <cellStyle name="Output 5 4 3 2" xfId="754" xr:uid="{00000000-0005-0000-0000-00003C060000}"/>
    <cellStyle name="Output 5 4 3 2 2" xfId="1581" xr:uid="{00000000-0005-0000-0000-00003D060000}"/>
    <cellStyle name="Output 5 4 3 3" xfId="1183" xr:uid="{00000000-0005-0000-0000-00003E060000}"/>
    <cellStyle name="Output 5 4 4" xfId="612" xr:uid="{00000000-0005-0000-0000-00003F060000}"/>
    <cellStyle name="Output 5 4 4 2" xfId="1439" xr:uid="{00000000-0005-0000-0000-000040060000}"/>
    <cellStyle name="Output 5 4 5" xfId="1041" xr:uid="{00000000-0005-0000-0000-000041060000}"/>
    <cellStyle name="Output 5 5" xfId="244" xr:uid="{00000000-0005-0000-0000-000042060000}"/>
    <cellStyle name="Output 5 5 2" xfId="501" xr:uid="{00000000-0005-0000-0000-000043060000}"/>
    <cellStyle name="Output 5 5 2 2" xfId="899" xr:uid="{00000000-0005-0000-0000-000044060000}"/>
    <cellStyle name="Output 5 5 2 2 2" xfId="1726" xr:uid="{00000000-0005-0000-0000-000045060000}"/>
    <cellStyle name="Output 5 5 2 3" xfId="1328" xr:uid="{00000000-0005-0000-0000-000046060000}"/>
    <cellStyle name="Output 5 5 3" xfId="643" xr:uid="{00000000-0005-0000-0000-000047060000}"/>
    <cellStyle name="Output 5 5 3 2" xfId="1470" xr:uid="{00000000-0005-0000-0000-000048060000}"/>
    <cellStyle name="Output 5 5 4" xfId="1072" xr:uid="{00000000-0005-0000-0000-000049060000}"/>
    <cellStyle name="Output 5 6" xfId="930" xr:uid="{00000000-0005-0000-0000-00004A060000}"/>
    <cellStyle name="Output 6" xfId="90" xr:uid="{00000000-0005-0000-0000-00004B060000}"/>
    <cellStyle name="Output 6 2" xfId="118" xr:uid="{00000000-0005-0000-0000-00004C060000}"/>
    <cellStyle name="Output 6 2 2" xfId="376" xr:uid="{00000000-0005-0000-0000-00004D060000}"/>
    <cellStyle name="Output 6 2 2 2" xfId="774" xr:uid="{00000000-0005-0000-0000-00004E060000}"/>
    <cellStyle name="Output 6 2 2 2 2" xfId="1601" xr:uid="{00000000-0005-0000-0000-00004F060000}"/>
    <cellStyle name="Output 6 2 2 3" xfId="1203" xr:uid="{00000000-0005-0000-0000-000050060000}"/>
    <cellStyle name="Output 6 2 3" xfId="262" xr:uid="{00000000-0005-0000-0000-000051060000}"/>
    <cellStyle name="Output 6 2 3 2" xfId="660" xr:uid="{00000000-0005-0000-0000-000052060000}"/>
    <cellStyle name="Output 6 2 3 2 2" xfId="1487" xr:uid="{00000000-0005-0000-0000-000053060000}"/>
    <cellStyle name="Output 6 2 3 3" xfId="1089" xr:uid="{00000000-0005-0000-0000-000054060000}"/>
    <cellStyle name="Output 6 2 4" xfId="518" xr:uid="{00000000-0005-0000-0000-000055060000}"/>
    <cellStyle name="Output 6 2 4 2" xfId="1345" xr:uid="{00000000-0005-0000-0000-000056060000}"/>
    <cellStyle name="Output 6 2 5" xfId="947" xr:uid="{00000000-0005-0000-0000-000057060000}"/>
    <cellStyle name="Output 6 3" xfId="207" xr:uid="{00000000-0005-0000-0000-000058060000}"/>
    <cellStyle name="Output 6 3 2" xfId="464" xr:uid="{00000000-0005-0000-0000-000059060000}"/>
    <cellStyle name="Output 6 3 2 2" xfId="862" xr:uid="{00000000-0005-0000-0000-00005A060000}"/>
    <cellStyle name="Output 6 3 2 2 2" xfId="1689" xr:uid="{00000000-0005-0000-0000-00005B060000}"/>
    <cellStyle name="Output 6 3 2 3" xfId="1291" xr:uid="{00000000-0005-0000-0000-00005C060000}"/>
    <cellStyle name="Output 6 3 3" xfId="350" xr:uid="{00000000-0005-0000-0000-00005D060000}"/>
    <cellStyle name="Output 6 3 3 2" xfId="748" xr:uid="{00000000-0005-0000-0000-00005E060000}"/>
    <cellStyle name="Output 6 3 3 2 2" xfId="1575" xr:uid="{00000000-0005-0000-0000-00005F060000}"/>
    <cellStyle name="Output 6 3 3 3" xfId="1177" xr:uid="{00000000-0005-0000-0000-000060060000}"/>
    <cellStyle name="Output 6 3 4" xfId="606" xr:uid="{00000000-0005-0000-0000-000061060000}"/>
    <cellStyle name="Output 6 3 4 2" xfId="1433" xr:uid="{00000000-0005-0000-0000-000062060000}"/>
    <cellStyle name="Output 6 3 5" xfId="1035" xr:uid="{00000000-0005-0000-0000-000063060000}"/>
    <cellStyle name="Output 6 4" xfId="188" xr:uid="{00000000-0005-0000-0000-000064060000}"/>
    <cellStyle name="Output 6 4 2" xfId="445" xr:uid="{00000000-0005-0000-0000-000065060000}"/>
    <cellStyle name="Output 6 4 2 2" xfId="843" xr:uid="{00000000-0005-0000-0000-000066060000}"/>
    <cellStyle name="Output 6 4 2 2 2" xfId="1670" xr:uid="{00000000-0005-0000-0000-000067060000}"/>
    <cellStyle name="Output 6 4 2 3" xfId="1272" xr:uid="{00000000-0005-0000-0000-000068060000}"/>
    <cellStyle name="Output 6 4 3" xfId="331" xr:uid="{00000000-0005-0000-0000-000069060000}"/>
    <cellStyle name="Output 6 4 3 2" xfId="729" xr:uid="{00000000-0005-0000-0000-00006A060000}"/>
    <cellStyle name="Output 6 4 3 2 2" xfId="1556" xr:uid="{00000000-0005-0000-0000-00006B060000}"/>
    <cellStyle name="Output 6 4 3 3" xfId="1158" xr:uid="{00000000-0005-0000-0000-00006C060000}"/>
    <cellStyle name="Output 6 4 4" xfId="587" xr:uid="{00000000-0005-0000-0000-00006D060000}"/>
    <cellStyle name="Output 6 4 4 2" xfId="1414" xr:uid="{00000000-0005-0000-0000-00006E060000}"/>
    <cellStyle name="Output 6 4 5" xfId="1016" xr:uid="{00000000-0005-0000-0000-00006F060000}"/>
    <cellStyle name="Output 6 5" xfId="233" xr:uid="{00000000-0005-0000-0000-000070060000}"/>
    <cellStyle name="Output 6 5 2" xfId="490" xr:uid="{00000000-0005-0000-0000-000071060000}"/>
    <cellStyle name="Output 6 5 2 2" xfId="888" xr:uid="{00000000-0005-0000-0000-000072060000}"/>
    <cellStyle name="Output 6 5 2 2 2" xfId="1715" xr:uid="{00000000-0005-0000-0000-000073060000}"/>
    <cellStyle name="Output 6 5 2 3" xfId="1317" xr:uid="{00000000-0005-0000-0000-000074060000}"/>
    <cellStyle name="Output 6 5 3" xfId="632" xr:uid="{00000000-0005-0000-0000-000075060000}"/>
    <cellStyle name="Output 6 5 3 2" xfId="1459" xr:uid="{00000000-0005-0000-0000-000076060000}"/>
    <cellStyle name="Output 6 5 4" xfId="1061" xr:uid="{00000000-0005-0000-0000-000077060000}"/>
    <cellStyle name="Output 6 6" xfId="919" xr:uid="{00000000-0005-0000-0000-000078060000}"/>
    <cellStyle name="Output 7" xfId="115" xr:uid="{00000000-0005-0000-0000-000079060000}"/>
    <cellStyle name="Output 7 2" xfId="169" xr:uid="{00000000-0005-0000-0000-00007A060000}"/>
    <cellStyle name="Output 7 2 2" xfId="427" xr:uid="{00000000-0005-0000-0000-00007B060000}"/>
    <cellStyle name="Output 7 2 2 2" xfId="825" xr:uid="{00000000-0005-0000-0000-00007C060000}"/>
    <cellStyle name="Output 7 2 2 2 2" xfId="1652" xr:uid="{00000000-0005-0000-0000-00007D060000}"/>
    <cellStyle name="Output 7 2 2 3" xfId="1254" xr:uid="{00000000-0005-0000-0000-00007E060000}"/>
    <cellStyle name="Output 7 2 3" xfId="313" xr:uid="{00000000-0005-0000-0000-00007F060000}"/>
    <cellStyle name="Output 7 2 3 2" xfId="711" xr:uid="{00000000-0005-0000-0000-000080060000}"/>
    <cellStyle name="Output 7 2 3 2 2" xfId="1538" xr:uid="{00000000-0005-0000-0000-000081060000}"/>
    <cellStyle name="Output 7 2 3 3" xfId="1140" xr:uid="{00000000-0005-0000-0000-000082060000}"/>
    <cellStyle name="Output 7 2 4" xfId="569" xr:uid="{00000000-0005-0000-0000-000083060000}"/>
    <cellStyle name="Output 7 2 4 2" xfId="1396" xr:uid="{00000000-0005-0000-0000-000084060000}"/>
    <cellStyle name="Output 7 2 5" xfId="998" xr:uid="{00000000-0005-0000-0000-000085060000}"/>
    <cellStyle name="Output 7 3" xfId="156" xr:uid="{00000000-0005-0000-0000-000086060000}"/>
    <cellStyle name="Output 7 3 2" xfId="414" xr:uid="{00000000-0005-0000-0000-000087060000}"/>
    <cellStyle name="Output 7 3 2 2" xfId="812" xr:uid="{00000000-0005-0000-0000-000088060000}"/>
    <cellStyle name="Output 7 3 2 2 2" xfId="1639" xr:uid="{00000000-0005-0000-0000-000089060000}"/>
    <cellStyle name="Output 7 3 2 3" xfId="1241" xr:uid="{00000000-0005-0000-0000-00008A060000}"/>
    <cellStyle name="Output 7 3 3" xfId="300" xr:uid="{00000000-0005-0000-0000-00008B060000}"/>
    <cellStyle name="Output 7 3 3 2" xfId="698" xr:uid="{00000000-0005-0000-0000-00008C060000}"/>
    <cellStyle name="Output 7 3 3 2 2" xfId="1525" xr:uid="{00000000-0005-0000-0000-00008D060000}"/>
    <cellStyle name="Output 7 3 3 3" xfId="1127" xr:uid="{00000000-0005-0000-0000-00008E060000}"/>
    <cellStyle name="Output 7 3 4" xfId="556" xr:uid="{00000000-0005-0000-0000-00008F060000}"/>
    <cellStyle name="Output 7 3 4 2" xfId="1383" xr:uid="{00000000-0005-0000-0000-000090060000}"/>
    <cellStyle name="Output 7 3 5" xfId="985" xr:uid="{00000000-0005-0000-0000-000091060000}"/>
    <cellStyle name="Output 7 4" xfId="373" xr:uid="{00000000-0005-0000-0000-000092060000}"/>
    <cellStyle name="Output 7 4 2" xfId="771" xr:uid="{00000000-0005-0000-0000-000093060000}"/>
    <cellStyle name="Output 7 4 2 2" xfId="1598" xr:uid="{00000000-0005-0000-0000-000094060000}"/>
    <cellStyle name="Output 7 4 3" xfId="1200" xr:uid="{00000000-0005-0000-0000-000095060000}"/>
    <cellStyle name="Output 7 5" xfId="259" xr:uid="{00000000-0005-0000-0000-000096060000}"/>
    <cellStyle name="Output 7 5 2" xfId="657" xr:uid="{00000000-0005-0000-0000-000097060000}"/>
    <cellStyle name="Output 7 5 2 2" xfId="1484" xr:uid="{00000000-0005-0000-0000-000098060000}"/>
    <cellStyle name="Output 7 5 3" xfId="1086" xr:uid="{00000000-0005-0000-0000-000099060000}"/>
    <cellStyle name="Output 7 6" xfId="515" xr:uid="{00000000-0005-0000-0000-00009A060000}"/>
    <cellStyle name="Output 7 6 2" xfId="1342" xr:uid="{00000000-0005-0000-0000-00009B060000}"/>
    <cellStyle name="Output 7 7" xfId="944" xr:uid="{00000000-0005-0000-0000-00009C060000}"/>
    <cellStyle name="Output 8" xfId="110" xr:uid="{00000000-0005-0000-0000-00009D060000}"/>
    <cellStyle name="Output 8 2" xfId="164" xr:uid="{00000000-0005-0000-0000-00009E060000}"/>
    <cellStyle name="Output 8 2 2" xfId="422" xr:uid="{00000000-0005-0000-0000-00009F060000}"/>
    <cellStyle name="Output 8 2 2 2" xfId="820" xr:uid="{00000000-0005-0000-0000-0000A0060000}"/>
    <cellStyle name="Output 8 2 2 2 2" xfId="1647" xr:uid="{00000000-0005-0000-0000-0000A1060000}"/>
    <cellStyle name="Output 8 2 2 3" xfId="1249" xr:uid="{00000000-0005-0000-0000-0000A2060000}"/>
    <cellStyle name="Output 8 2 3" xfId="308" xr:uid="{00000000-0005-0000-0000-0000A3060000}"/>
    <cellStyle name="Output 8 2 3 2" xfId="706" xr:uid="{00000000-0005-0000-0000-0000A4060000}"/>
    <cellStyle name="Output 8 2 3 2 2" xfId="1533" xr:uid="{00000000-0005-0000-0000-0000A5060000}"/>
    <cellStyle name="Output 8 2 3 3" xfId="1135" xr:uid="{00000000-0005-0000-0000-0000A6060000}"/>
    <cellStyle name="Output 8 2 4" xfId="564" xr:uid="{00000000-0005-0000-0000-0000A7060000}"/>
    <cellStyle name="Output 8 2 4 2" xfId="1391" xr:uid="{00000000-0005-0000-0000-0000A8060000}"/>
    <cellStyle name="Output 8 2 5" xfId="993" xr:uid="{00000000-0005-0000-0000-0000A9060000}"/>
    <cellStyle name="Output 8 3" xfId="368" xr:uid="{00000000-0005-0000-0000-0000AA060000}"/>
    <cellStyle name="Output 8 3 2" xfId="766" xr:uid="{00000000-0005-0000-0000-0000AB060000}"/>
    <cellStyle name="Output 8 3 2 2" xfId="1593" xr:uid="{00000000-0005-0000-0000-0000AC060000}"/>
    <cellStyle name="Output 8 3 3" xfId="1195" xr:uid="{00000000-0005-0000-0000-0000AD060000}"/>
    <cellStyle name="Output 8 4" xfId="254" xr:uid="{00000000-0005-0000-0000-0000AE060000}"/>
    <cellStyle name="Output 8 4 2" xfId="652" xr:uid="{00000000-0005-0000-0000-0000AF060000}"/>
    <cellStyle name="Output 8 4 2 2" xfId="1479" xr:uid="{00000000-0005-0000-0000-0000B0060000}"/>
    <cellStyle name="Output 8 4 3" xfId="1081" xr:uid="{00000000-0005-0000-0000-0000B1060000}"/>
    <cellStyle name="Output 8 5" xfId="510" xr:uid="{00000000-0005-0000-0000-0000B2060000}"/>
    <cellStyle name="Output 8 5 2" xfId="1337" xr:uid="{00000000-0005-0000-0000-0000B3060000}"/>
    <cellStyle name="Output 8 6" xfId="939" xr:uid="{00000000-0005-0000-0000-0000B4060000}"/>
    <cellStyle name="Output 9" xfId="171" xr:uid="{00000000-0005-0000-0000-0000B5060000}"/>
    <cellStyle name="Output 9 2" xfId="429" xr:uid="{00000000-0005-0000-0000-0000B6060000}"/>
    <cellStyle name="Output 9 2 2" xfId="827" xr:uid="{00000000-0005-0000-0000-0000B7060000}"/>
    <cellStyle name="Output 9 2 2 2" xfId="1654" xr:uid="{00000000-0005-0000-0000-0000B8060000}"/>
    <cellStyle name="Output 9 2 3" xfId="1256" xr:uid="{00000000-0005-0000-0000-0000B9060000}"/>
    <cellStyle name="Output 9 3" xfId="315" xr:uid="{00000000-0005-0000-0000-0000BA060000}"/>
    <cellStyle name="Output 9 3 2" xfId="713" xr:uid="{00000000-0005-0000-0000-0000BB060000}"/>
    <cellStyle name="Output 9 3 2 2" xfId="1540" xr:uid="{00000000-0005-0000-0000-0000BC060000}"/>
    <cellStyle name="Output 9 3 3" xfId="1142" xr:uid="{00000000-0005-0000-0000-0000BD060000}"/>
    <cellStyle name="Output 9 4" xfId="571" xr:uid="{00000000-0005-0000-0000-0000BE060000}"/>
    <cellStyle name="Output 9 4 2" xfId="1398" xr:uid="{00000000-0005-0000-0000-0000BF060000}"/>
    <cellStyle name="Output 9 5" xfId="1000" xr:uid="{00000000-0005-0000-0000-0000C0060000}"/>
    <cellStyle name="Porcentaje" xfId="1736" builtinId="5"/>
    <cellStyle name="Porcentaje 2" xfId="60" xr:uid="{00000000-0005-0000-0000-0000C2060000}"/>
    <cellStyle name="Porcentual 2" xfId="62" xr:uid="{00000000-0005-0000-0000-0000C3060000}"/>
    <cellStyle name="Porcentual 2 2" xfId="908" xr:uid="{00000000-0005-0000-0000-0000C4060000}"/>
    <cellStyle name="Porcentual 3" xfId="70" xr:uid="{00000000-0005-0000-0000-0000C5060000}"/>
    <cellStyle name="Porcentual 3 2" xfId="909" xr:uid="{00000000-0005-0000-0000-0000C6060000}"/>
    <cellStyle name="TableStyleLight1" xfId="66" xr:uid="{00000000-0005-0000-0000-0000C7060000}"/>
    <cellStyle name="Title" xfId="58" xr:uid="{00000000-0005-0000-0000-0000C8060000}"/>
    <cellStyle name="Warning Text" xfId="59" xr:uid="{00000000-0005-0000-0000-0000C9060000}"/>
  </cellStyles>
  <dxfs count="0"/>
  <tableStyles count="0" defaultTableStyle="TableStyleMedium2" defaultPivotStyle="PivotStyleLight16"/>
  <colors>
    <mruColors>
      <color rgb="FF9A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cid:image003.png@01D99F94.07128250" TargetMode="External"/><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63500</xdr:rowOff>
    </xdr:from>
    <xdr:to>
      <xdr:col>1</xdr:col>
      <xdr:colOff>3214370</xdr:colOff>
      <xdr:row>3</xdr:row>
      <xdr:rowOff>31115</xdr:rowOff>
    </xdr:to>
    <xdr:pic>
      <xdr:nvPicPr>
        <xdr:cNvPr id="2" name="Imagen 1">
          <a:extLst>
            <a:ext uri="{FF2B5EF4-FFF2-40B4-BE49-F238E27FC236}">
              <a16:creationId xmlns:a16="http://schemas.microsoft.com/office/drawing/2014/main" id="{12D72A87-8B50-881C-E71F-45C06AD1F7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63500"/>
          <a:ext cx="3706495" cy="5867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41</xdr:row>
      <xdr:rowOff>0</xdr:rowOff>
    </xdr:from>
    <xdr:to>
      <xdr:col>6</xdr:col>
      <xdr:colOff>304800</xdr:colOff>
      <xdr:row>41</xdr:row>
      <xdr:rowOff>304800</xdr:rowOff>
    </xdr:to>
    <xdr:sp macro="" textlink="">
      <xdr:nvSpPr>
        <xdr:cNvPr id="1027" name="AutoShape 3">
          <a:extLst>
            <a:ext uri="{FF2B5EF4-FFF2-40B4-BE49-F238E27FC236}">
              <a16:creationId xmlns:a16="http://schemas.microsoft.com/office/drawing/2014/main" id="{7E779305-C76A-70B4-C633-7EA31261CF5A}"/>
            </a:ext>
          </a:extLst>
        </xdr:cNvPr>
        <xdr:cNvSpPr>
          <a:spLocks noChangeAspect="1" noChangeArrowheads="1"/>
        </xdr:cNvSpPr>
      </xdr:nvSpPr>
      <xdr:spPr bwMode="auto">
        <a:xfrm>
          <a:off x="5895975" y="10315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68966</xdr:colOff>
      <xdr:row>0</xdr:row>
      <xdr:rowOff>0</xdr:rowOff>
    </xdr:from>
    <xdr:to>
      <xdr:col>2</xdr:col>
      <xdr:colOff>1012031</xdr:colOff>
      <xdr:row>8</xdr:row>
      <xdr:rowOff>107156</xdr:rowOff>
    </xdr:to>
    <xdr:pic>
      <xdr:nvPicPr>
        <xdr:cNvPr id="4" name="Imagen 2" descr="Logotipo&#10;&#10;Descripción generada automáticamente con confianza media">
          <a:extLst>
            <a:ext uri="{FF2B5EF4-FFF2-40B4-BE49-F238E27FC236}">
              <a16:creationId xmlns:a16="http://schemas.microsoft.com/office/drawing/2014/main" id="{0C0776AD-1ABA-5277-2838-FBFC91D36584}"/>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64216" y="0"/>
          <a:ext cx="1288346"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18</xdr:col>
      <xdr:colOff>200025</xdr:colOff>
      <xdr:row>22</xdr:row>
      <xdr:rowOff>47625</xdr:rowOff>
    </xdr:from>
    <xdr:to>
      <xdr:col>18</xdr:col>
      <xdr:colOff>676275</xdr:colOff>
      <xdr:row>24</xdr:row>
      <xdr:rowOff>28575</xdr:rowOff>
    </xdr:to>
    <xdr:sp macro="" textlink="">
      <xdr:nvSpPr>
        <xdr:cNvPr id="3" name="Flecha: hacia la izquierda 2">
          <a:extLst>
            <a:ext uri="{FF2B5EF4-FFF2-40B4-BE49-F238E27FC236}">
              <a16:creationId xmlns:a16="http://schemas.microsoft.com/office/drawing/2014/main" id="{D5C41D67-02A9-46A7-8891-F0D75C80AA78}"/>
            </a:ext>
          </a:extLst>
        </xdr:cNvPr>
        <xdr:cNvSpPr/>
      </xdr:nvSpPr>
      <xdr:spPr>
        <a:xfrm flipH="1">
          <a:off x="21507450" y="2819400"/>
          <a:ext cx="476250" cy="6286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66675</xdr:colOff>
      <xdr:row>40</xdr:row>
      <xdr:rowOff>38101</xdr:rowOff>
    </xdr:from>
    <xdr:to>
      <xdr:col>16</xdr:col>
      <xdr:colOff>371475</xdr:colOff>
      <xdr:row>43</xdr:row>
      <xdr:rowOff>28576</xdr:rowOff>
    </xdr:to>
    <xdr:sp macro="" textlink="">
      <xdr:nvSpPr>
        <xdr:cNvPr id="4" name="Flecha: hacia la izquierda 3">
          <a:extLst>
            <a:ext uri="{FF2B5EF4-FFF2-40B4-BE49-F238E27FC236}">
              <a16:creationId xmlns:a16="http://schemas.microsoft.com/office/drawing/2014/main" id="{AE7D5C64-0C0A-4978-946C-B9E4E8BAF68C}"/>
            </a:ext>
          </a:extLst>
        </xdr:cNvPr>
        <xdr:cNvSpPr/>
      </xdr:nvSpPr>
      <xdr:spPr>
        <a:xfrm rot="5400000" flipH="1">
          <a:off x="18992850" y="7038976"/>
          <a:ext cx="514350" cy="3048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0</xdr:colOff>
      <xdr:row>15</xdr:row>
      <xdr:rowOff>0</xdr:rowOff>
    </xdr:from>
    <xdr:to>
      <xdr:col>6</xdr:col>
      <xdr:colOff>304800</xdr:colOff>
      <xdr:row>15</xdr:row>
      <xdr:rowOff>417368</xdr:rowOff>
    </xdr:to>
    <xdr:sp macro="" textlink="">
      <xdr:nvSpPr>
        <xdr:cNvPr id="2" name="AutoShape 3">
          <a:extLst>
            <a:ext uri="{FF2B5EF4-FFF2-40B4-BE49-F238E27FC236}">
              <a16:creationId xmlns:a16="http://schemas.microsoft.com/office/drawing/2014/main" id="{446FD9AF-2FAB-47AD-9256-F81266B77E7A}"/>
            </a:ext>
          </a:extLst>
        </xdr:cNvPr>
        <xdr:cNvSpPr>
          <a:spLocks noChangeAspect="1" noChangeArrowheads="1"/>
        </xdr:cNvSpPr>
      </xdr:nvSpPr>
      <xdr:spPr bwMode="auto">
        <a:xfrm>
          <a:off x="5895975" y="1313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76200</xdr:colOff>
      <xdr:row>8</xdr:row>
      <xdr:rowOff>76200</xdr:rowOff>
    </xdr:to>
    <xdr:pic>
      <xdr:nvPicPr>
        <xdr:cNvPr id="2" name="Imagen 1" descr="*">
          <a:extLst>
            <a:ext uri="{FF2B5EF4-FFF2-40B4-BE49-F238E27FC236}">
              <a16:creationId xmlns:a16="http://schemas.microsoft.com/office/drawing/2014/main" id="{009847DB-2419-4CE4-9A40-4D69A5DE9A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43050"/>
          <a:ext cx="762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9</xdr:row>
      <xdr:rowOff>0</xdr:rowOff>
    </xdr:from>
    <xdr:to>
      <xdr:col>0</xdr:col>
      <xdr:colOff>76200</xdr:colOff>
      <xdr:row>9</xdr:row>
      <xdr:rowOff>76200</xdr:rowOff>
    </xdr:to>
    <xdr:pic>
      <xdr:nvPicPr>
        <xdr:cNvPr id="3" name="Imagen 2" descr="*">
          <a:extLst>
            <a:ext uri="{FF2B5EF4-FFF2-40B4-BE49-F238E27FC236}">
              <a16:creationId xmlns:a16="http://schemas.microsoft.com/office/drawing/2014/main" id="{3EAAB8FE-59A9-482F-A225-96AD9D8DFE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43100"/>
          <a:ext cx="762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xdr:row>
      <xdr:rowOff>0</xdr:rowOff>
    </xdr:from>
    <xdr:to>
      <xdr:col>0</xdr:col>
      <xdr:colOff>76200</xdr:colOff>
      <xdr:row>10</xdr:row>
      <xdr:rowOff>76200</xdr:rowOff>
    </xdr:to>
    <xdr:pic>
      <xdr:nvPicPr>
        <xdr:cNvPr id="4" name="Imagen 3" descr="*">
          <a:extLst>
            <a:ext uri="{FF2B5EF4-FFF2-40B4-BE49-F238E27FC236}">
              <a16:creationId xmlns:a16="http://schemas.microsoft.com/office/drawing/2014/main" id="{D45E6B3A-7184-4E1E-93FE-4CCAD36C44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43150"/>
          <a:ext cx="762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xdr:row>
      <xdr:rowOff>0</xdr:rowOff>
    </xdr:from>
    <xdr:to>
      <xdr:col>0</xdr:col>
      <xdr:colOff>76200</xdr:colOff>
      <xdr:row>11</xdr:row>
      <xdr:rowOff>76200</xdr:rowOff>
    </xdr:to>
    <xdr:pic>
      <xdr:nvPicPr>
        <xdr:cNvPr id="5" name="Imagen 4" descr="*">
          <a:extLst>
            <a:ext uri="{FF2B5EF4-FFF2-40B4-BE49-F238E27FC236}">
              <a16:creationId xmlns:a16="http://schemas.microsoft.com/office/drawing/2014/main" id="{95ABED51-479C-4551-80DF-C43C31AF4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43200"/>
          <a:ext cx="762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18</xdr:col>
      <xdr:colOff>200025</xdr:colOff>
      <xdr:row>14</xdr:row>
      <xdr:rowOff>47625</xdr:rowOff>
    </xdr:from>
    <xdr:to>
      <xdr:col>18</xdr:col>
      <xdr:colOff>676275</xdr:colOff>
      <xdr:row>16</xdr:row>
      <xdr:rowOff>28575</xdr:rowOff>
    </xdr:to>
    <xdr:sp macro="" textlink="">
      <xdr:nvSpPr>
        <xdr:cNvPr id="2" name="Flecha: hacia la izquierda 1">
          <a:extLst>
            <a:ext uri="{FF2B5EF4-FFF2-40B4-BE49-F238E27FC236}">
              <a16:creationId xmlns:a16="http://schemas.microsoft.com/office/drawing/2014/main" id="{39DDF110-1301-4AC1-A3B7-94CF4BE7C486}"/>
            </a:ext>
          </a:extLst>
        </xdr:cNvPr>
        <xdr:cNvSpPr/>
      </xdr:nvSpPr>
      <xdr:spPr>
        <a:xfrm flipH="1">
          <a:off x="21126450" y="2819400"/>
          <a:ext cx="476250" cy="6286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66675</xdr:colOff>
      <xdr:row>32</xdr:row>
      <xdr:rowOff>38101</xdr:rowOff>
    </xdr:from>
    <xdr:to>
      <xdr:col>16</xdr:col>
      <xdr:colOff>371475</xdr:colOff>
      <xdr:row>35</xdr:row>
      <xdr:rowOff>28576</xdr:rowOff>
    </xdr:to>
    <xdr:sp macro="" textlink="">
      <xdr:nvSpPr>
        <xdr:cNvPr id="3" name="Flecha: hacia la izquierda 2">
          <a:extLst>
            <a:ext uri="{FF2B5EF4-FFF2-40B4-BE49-F238E27FC236}">
              <a16:creationId xmlns:a16="http://schemas.microsoft.com/office/drawing/2014/main" id="{06492062-6E98-413F-9453-95B3CC4E6C77}"/>
            </a:ext>
          </a:extLst>
        </xdr:cNvPr>
        <xdr:cNvSpPr/>
      </xdr:nvSpPr>
      <xdr:spPr>
        <a:xfrm rot="5400000" flipH="1">
          <a:off x="18611850" y="7038976"/>
          <a:ext cx="514350" cy="3048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person displayName="Ximena Andrea Quesada Moreno" id="{85D8C4EF-17EE-43A2-8165-BDDF07862DB1}" userId="S::xquesada@mineducacion.gov.co::1550c9f6-a68b-4f9f-b3df-3b839707797c"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18" dT="2023-06-06T16:57:39.05" personId="{85D8C4EF-17EE-43A2-8165-BDDF07862DB1}" id="{FB12280F-A532-4529-8FB7-D7F23599AF50}">
    <text xml:space="preserve">Este valor se toma teniendo  cómo referencia los valores del contrato con la UCC que contiene actividades similares  CO1.PCCNTR.24804008. Tidos a valor presente neto con el IPC para 2023 y redondeado a 40 millones </text>
  </threadedComment>
</ThreadedComments>
</file>

<file path=xl/threadedComments/threadedComment2.xml><?xml version="1.0" encoding="utf-8"?>
<ThreadedComments xmlns="http://schemas.microsoft.com/office/spreadsheetml/2018/threadedcomments" xmlns:x="http://schemas.openxmlformats.org/spreadsheetml/2006/main">
  <threadedComment ref="G15" dT="2023-06-06T16:57:39.05" personId="{85D8C4EF-17EE-43A2-8165-BDDF07862DB1}" id="{D34DF2CE-7C3C-4789-9B00-C0D7333EAE3E}">
    <text>Este valor se toma teniendo  cómo referencia los valores del contrato de Salud mental 4714568 de 2023</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7.bin"/><Relationship Id="rId5" Type="http://schemas.microsoft.com/office/2017/10/relationships/threadedComment" Target="../threadedComments/threadedComment2.xml"/><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
  <sheetViews>
    <sheetView topLeftCell="A11" zoomScale="85" zoomScaleNormal="85" zoomScalePageLayoutView="85" workbookViewId="0">
      <selection activeCell="A19" sqref="A19:XFD20"/>
    </sheetView>
  </sheetViews>
  <sheetFormatPr baseColWidth="10" defaultColWidth="11.42578125" defaultRowHeight="15.75" x14ac:dyDescent="0.25"/>
  <cols>
    <col min="1" max="1" width="7" style="69" customWidth="1"/>
    <col min="2" max="2" width="77.42578125" style="69" bestFit="1" customWidth="1"/>
    <col min="3" max="3" width="92.85546875" style="71" customWidth="1"/>
    <col min="4" max="4" width="184.42578125" style="69" customWidth="1"/>
    <col min="5" max="16384" width="11.42578125" style="69"/>
  </cols>
  <sheetData>
    <row r="1" spans="1:9" x14ac:dyDescent="0.25">
      <c r="A1" s="86"/>
      <c r="B1" s="87"/>
      <c r="C1" s="88"/>
      <c r="D1" s="87"/>
      <c r="E1" s="86"/>
      <c r="F1" s="86"/>
      <c r="G1" s="86"/>
      <c r="H1" s="86"/>
      <c r="I1" s="86"/>
    </row>
    <row r="2" spans="1:9" x14ac:dyDescent="0.25">
      <c r="A2" s="86"/>
      <c r="B2" s="87"/>
      <c r="C2" s="88"/>
      <c r="D2" s="87"/>
      <c r="E2" s="86"/>
      <c r="F2" s="86"/>
      <c r="G2" s="86"/>
      <c r="H2" s="86"/>
      <c r="I2" s="86"/>
    </row>
    <row r="3" spans="1:9" x14ac:dyDescent="0.25">
      <c r="A3" s="86"/>
      <c r="B3" s="87"/>
      <c r="C3" s="88"/>
      <c r="D3" s="86"/>
      <c r="E3" s="86"/>
      <c r="F3" s="86"/>
      <c r="G3" s="86"/>
      <c r="H3" s="86"/>
      <c r="I3" s="86"/>
    </row>
    <row r="4" spans="1:9" ht="20.25" x14ac:dyDescent="0.25">
      <c r="A4" s="451" t="s">
        <v>0</v>
      </c>
      <c r="B4" s="451"/>
      <c r="C4" s="451"/>
      <c r="D4" s="451"/>
      <c r="E4" s="86"/>
      <c r="F4" s="86"/>
      <c r="G4" s="86"/>
      <c r="H4" s="86"/>
      <c r="I4" s="86"/>
    </row>
    <row r="5" spans="1:9" ht="18" x14ac:dyDescent="0.25">
      <c r="A5" s="452" t="s">
        <v>1</v>
      </c>
      <c r="B5" s="452"/>
      <c r="C5" s="452"/>
      <c r="D5" s="452"/>
      <c r="E5" s="86"/>
      <c r="F5" s="86"/>
      <c r="G5" s="86"/>
      <c r="H5" s="86"/>
      <c r="I5" s="86"/>
    </row>
    <row r="6" spans="1:9" x14ac:dyDescent="0.25">
      <c r="A6" s="453" t="s">
        <v>80</v>
      </c>
      <c r="B6" s="453"/>
      <c r="C6" s="453"/>
      <c r="D6" s="453"/>
      <c r="E6" s="86"/>
      <c r="F6" s="86"/>
      <c r="G6" s="86"/>
      <c r="H6" s="86"/>
      <c r="I6" s="86"/>
    </row>
    <row r="7" spans="1:9" x14ac:dyDescent="0.25">
      <c r="A7" s="73"/>
      <c r="B7" s="73"/>
      <c r="C7" s="73"/>
      <c r="D7" s="73"/>
      <c r="E7" s="86"/>
      <c r="F7" s="86"/>
      <c r="G7" s="86"/>
      <c r="H7" s="86"/>
      <c r="I7" s="86"/>
    </row>
    <row r="8" spans="1:9" ht="18" x14ac:dyDescent="0.25">
      <c r="A8" s="454" t="s">
        <v>2</v>
      </c>
      <c r="B8" s="454"/>
      <c r="C8" s="454"/>
      <c r="D8" s="454"/>
      <c r="E8" s="86"/>
      <c r="F8" s="86"/>
      <c r="G8" s="86"/>
      <c r="H8" s="86"/>
      <c r="I8" s="86"/>
    </row>
    <row r="9" spans="1:9" ht="18" x14ac:dyDescent="0.25">
      <c r="A9" s="455" t="s">
        <v>94</v>
      </c>
      <c r="B9" s="456"/>
      <c r="C9" s="456"/>
      <c r="D9" s="456"/>
      <c r="E9" s="86"/>
      <c r="F9" s="86"/>
      <c r="G9" s="86"/>
      <c r="H9" s="86"/>
      <c r="I9" s="86"/>
    </row>
    <row r="10" spans="1:9" x14ac:dyDescent="0.25">
      <c r="A10" s="72"/>
      <c r="B10" s="465" t="s">
        <v>3</v>
      </c>
      <c r="C10" s="465"/>
      <c r="D10" s="465"/>
      <c r="E10" s="465"/>
      <c r="F10" s="465"/>
      <c r="G10" s="465"/>
      <c r="H10" s="465"/>
      <c r="I10" s="465"/>
    </row>
    <row r="11" spans="1:9" x14ac:dyDescent="0.25">
      <c r="A11" s="86"/>
      <c r="B11" s="457" t="s">
        <v>4</v>
      </c>
      <c r="C11" s="458"/>
      <c r="D11" s="458"/>
      <c r="E11" s="86"/>
      <c r="F11" s="86"/>
      <c r="G11" s="86"/>
      <c r="H11" s="86"/>
      <c r="I11" s="86"/>
    </row>
    <row r="12" spans="1:9" x14ac:dyDescent="0.25">
      <c r="A12" s="86"/>
      <c r="B12" s="459" t="s">
        <v>96</v>
      </c>
      <c r="C12" s="450" t="s">
        <v>104</v>
      </c>
      <c r="D12" s="447"/>
      <c r="E12" s="86"/>
      <c r="F12" s="86"/>
      <c r="G12" s="86"/>
      <c r="H12" s="86"/>
      <c r="I12" s="86"/>
    </row>
    <row r="13" spans="1:9" x14ac:dyDescent="0.25">
      <c r="A13" s="86"/>
      <c r="B13" s="460"/>
      <c r="C13" s="450" t="s">
        <v>89</v>
      </c>
      <c r="D13" s="447"/>
      <c r="E13" s="86"/>
      <c r="F13" s="86"/>
      <c r="G13" s="86"/>
      <c r="H13" s="86"/>
      <c r="I13" s="86"/>
    </row>
    <row r="14" spans="1:9" x14ac:dyDescent="0.25">
      <c r="A14" s="86"/>
      <c r="B14" s="460"/>
      <c r="C14" s="462" t="s">
        <v>90</v>
      </c>
      <c r="D14" s="463"/>
      <c r="E14" s="86"/>
      <c r="F14" s="86"/>
      <c r="G14" s="86"/>
      <c r="H14" s="86"/>
      <c r="I14" s="86"/>
    </row>
    <row r="15" spans="1:9" x14ac:dyDescent="0.25">
      <c r="A15" s="86"/>
      <c r="B15" s="460"/>
      <c r="C15" s="464" t="s">
        <v>91</v>
      </c>
      <c r="D15" s="463"/>
      <c r="E15" s="86"/>
      <c r="F15" s="86"/>
      <c r="G15" s="86"/>
      <c r="H15" s="86"/>
      <c r="I15" s="86"/>
    </row>
    <row r="16" spans="1:9" ht="113.45" customHeight="1" x14ac:dyDescent="0.25">
      <c r="A16" s="86"/>
      <c r="B16" s="461"/>
      <c r="C16" s="464" t="s">
        <v>5</v>
      </c>
      <c r="D16" s="463"/>
      <c r="E16" s="86"/>
      <c r="F16" s="86"/>
      <c r="G16" s="86"/>
      <c r="H16" s="86"/>
      <c r="I16" s="86"/>
    </row>
    <row r="17" spans="1:9" ht="96.6" customHeight="1" x14ac:dyDescent="0.25">
      <c r="A17" s="86"/>
      <c r="B17" s="89" t="s">
        <v>92</v>
      </c>
      <c r="C17" s="448"/>
      <c r="D17" s="449"/>
      <c r="E17" s="86"/>
      <c r="F17" s="86"/>
      <c r="G17" s="86"/>
      <c r="H17" s="86"/>
      <c r="I17" s="86"/>
    </row>
    <row r="18" spans="1:9" ht="54" x14ac:dyDescent="0.25">
      <c r="A18" s="86"/>
      <c r="B18" s="89" t="s">
        <v>93</v>
      </c>
      <c r="C18" s="446"/>
      <c r="D18" s="447"/>
      <c r="E18" s="86"/>
      <c r="F18" s="86"/>
      <c r="G18" s="86"/>
      <c r="H18" s="86"/>
      <c r="I18" s="86"/>
    </row>
    <row r="20" spans="1:9" x14ac:dyDescent="0.25">
      <c r="A20" s="90"/>
      <c r="B20" s="91" t="s">
        <v>6</v>
      </c>
      <c r="C20" s="92" t="s">
        <v>7</v>
      </c>
      <c r="D20" s="91" t="s">
        <v>8</v>
      </c>
    </row>
    <row r="21" spans="1:9" x14ac:dyDescent="0.25">
      <c r="A21" s="90"/>
      <c r="B21" s="93"/>
      <c r="C21" s="94"/>
      <c r="D21" s="95"/>
    </row>
    <row r="22" spans="1:9" x14ac:dyDescent="0.25">
      <c r="A22" s="90"/>
      <c r="B22" s="93"/>
      <c r="C22" s="94"/>
      <c r="D22" s="95"/>
    </row>
    <row r="23" spans="1:9" x14ac:dyDescent="0.25">
      <c r="A23" s="90"/>
      <c r="B23" s="93"/>
      <c r="C23" s="94"/>
      <c r="D23" s="95"/>
    </row>
    <row r="24" spans="1:9" s="70" customFormat="1" x14ac:dyDescent="0.25">
      <c r="A24" s="86"/>
      <c r="B24" s="90"/>
      <c r="C24" s="96"/>
      <c r="D24" s="90"/>
    </row>
  </sheetData>
  <mergeCells count="15">
    <mergeCell ref="C18:D18"/>
    <mergeCell ref="C17:D17"/>
    <mergeCell ref="C12:D12"/>
    <mergeCell ref="A4:D4"/>
    <mergeCell ref="A5:D5"/>
    <mergeCell ref="A6:D6"/>
    <mergeCell ref="A8:D8"/>
    <mergeCell ref="A9:D9"/>
    <mergeCell ref="B11:D11"/>
    <mergeCell ref="B12:B16"/>
    <mergeCell ref="C14:D14"/>
    <mergeCell ref="C15:D15"/>
    <mergeCell ref="C16:D16"/>
    <mergeCell ref="B10:I10"/>
    <mergeCell ref="C13:D13"/>
  </mergeCells>
  <pageMargins left="0.7" right="0.7" top="0.75" bottom="0.75" header="0.3" footer="0.3"/>
  <pageSetup scale="34" orientation="portrait" horizontalDpi="4294967294" verticalDpi="4294967294" r:id="rId1"/>
  <colBreaks count="1" manualBreakCount="1">
    <brk id="4" max="20"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AH125"/>
  <sheetViews>
    <sheetView topLeftCell="A72" zoomScaleNormal="100" zoomScaleSheetLayoutView="70" workbookViewId="0">
      <selection activeCell="C26" sqref="C26"/>
    </sheetView>
  </sheetViews>
  <sheetFormatPr baseColWidth="10" defaultColWidth="0" defaultRowHeight="15" zeroHeight="1" x14ac:dyDescent="0.25"/>
  <cols>
    <col min="1" max="1" width="1.42578125" style="8" customWidth="1"/>
    <col min="2" max="2" width="5.140625" style="19" customWidth="1"/>
    <col min="3" max="3" width="31.85546875" style="8" customWidth="1"/>
    <col min="4" max="5" width="17.140625" style="8" customWidth="1"/>
    <col min="6" max="6" width="15.7109375" style="8" customWidth="1"/>
    <col min="7" max="7" width="19.42578125" style="8" customWidth="1"/>
    <col min="8" max="9" width="19.42578125" style="8" hidden="1" customWidth="1"/>
    <col min="10" max="10" width="19.7109375" style="8" customWidth="1"/>
    <col min="11" max="11" width="3.42578125" style="8" customWidth="1"/>
    <col min="12" max="12" width="17.42578125" style="8" customWidth="1"/>
    <col min="13" max="13" width="15.140625" style="8" customWidth="1"/>
    <col min="14" max="14" width="13.42578125" style="8" customWidth="1"/>
    <col min="15" max="34" width="0" style="8" hidden="1" customWidth="1"/>
    <col min="35" max="16384" width="11.42578125" style="8" hidden="1"/>
  </cols>
  <sheetData>
    <row r="4" spans="1:31" ht="21" hidden="1" x14ac:dyDescent="0.25">
      <c r="A4" s="451" t="s">
        <v>0</v>
      </c>
      <c r="B4" s="451"/>
      <c r="C4" s="451"/>
      <c r="D4" s="451"/>
      <c r="E4" s="451"/>
      <c r="F4" s="451"/>
      <c r="G4" s="451"/>
      <c r="H4" s="451"/>
      <c r="I4" s="451"/>
      <c r="J4" s="451"/>
      <c r="K4" s="21"/>
    </row>
    <row r="5" spans="1:31" ht="18.75" hidden="1" x14ac:dyDescent="0.25">
      <c r="A5" s="480" t="s">
        <v>1</v>
      </c>
      <c r="B5" s="480"/>
      <c r="C5" s="480"/>
      <c r="D5" s="480"/>
      <c r="E5" s="480"/>
      <c r="F5" s="480"/>
      <c r="G5" s="480"/>
      <c r="H5" s="480"/>
      <c r="I5" s="480"/>
      <c r="J5" s="480"/>
      <c r="K5" s="22"/>
    </row>
    <row r="6" spans="1:31" ht="18" hidden="1" x14ac:dyDescent="0.25">
      <c r="A6" s="481" t="s">
        <v>80</v>
      </c>
      <c r="B6" s="481"/>
      <c r="C6" s="481"/>
      <c r="D6" s="481"/>
      <c r="E6" s="481"/>
      <c r="F6" s="481"/>
      <c r="G6" s="481"/>
      <c r="H6" s="481"/>
      <c r="I6" s="481"/>
      <c r="J6" s="481"/>
    </row>
    <row r="7" spans="1:31" ht="18" hidden="1" x14ac:dyDescent="0.25">
      <c r="A7" s="74"/>
      <c r="B7" s="74"/>
      <c r="C7" s="74"/>
      <c r="D7" s="74"/>
      <c r="E7" s="74"/>
      <c r="F7" s="74"/>
      <c r="G7" s="75"/>
      <c r="H7" s="75"/>
      <c r="I7" s="75"/>
      <c r="J7" s="75"/>
    </row>
    <row r="8" spans="1:31" ht="33.6" customHeight="1" x14ac:dyDescent="0.25">
      <c r="A8" s="454" t="s">
        <v>9</v>
      </c>
      <c r="B8" s="454"/>
      <c r="C8" s="454"/>
      <c r="D8" s="454"/>
      <c r="E8" s="454"/>
      <c r="F8" s="454"/>
      <c r="G8" s="454"/>
      <c r="H8" s="454"/>
      <c r="I8" s="454"/>
      <c r="J8" s="454"/>
    </row>
    <row r="9" spans="1:31" ht="91.15" customHeight="1" x14ac:dyDescent="0.25">
      <c r="A9" s="474" t="s">
        <v>81</v>
      </c>
      <c r="B9" s="474"/>
      <c r="C9" s="474"/>
      <c r="D9" s="474"/>
      <c r="E9" s="474"/>
      <c r="F9" s="474"/>
      <c r="G9" s="474"/>
      <c r="H9" s="474"/>
      <c r="I9" s="474"/>
      <c r="J9" s="474"/>
      <c r="K9" s="68"/>
      <c r="L9" s="23"/>
      <c r="M9" s="23"/>
    </row>
    <row r="10" spans="1:31" ht="27" customHeight="1" x14ac:dyDescent="0.25">
      <c r="A10" s="475" t="s">
        <v>3</v>
      </c>
      <c r="B10" s="475"/>
      <c r="C10" s="475"/>
      <c r="D10" s="475"/>
      <c r="E10" s="475"/>
      <c r="F10" s="475"/>
      <c r="G10" s="475"/>
      <c r="H10" s="475"/>
      <c r="I10" s="475"/>
      <c r="J10" s="475"/>
      <c r="K10" s="68"/>
      <c r="L10" s="23"/>
      <c r="M10" s="23"/>
    </row>
    <row r="11" spans="1:31" ht="25.9" customHeight="1" x14ac:dyDescent="0.25">
      <c r="A11" s="48"/>
      <c r="B11" s="476"/>
      <c r="C11" s="476"/>
      <c r="D11" s="476"/>
      <c r="E11" s="476"/>
      <c r="F11" s="476"/>
      <c r="G11" s="476"/>
      <c r="H11" s="476"/>
      <c r="I11" s="476"/>
      <c r="J11" s="476"/>
      <c r="K11" s="476"/>
      <c r="L11" s="23"/>
      <c r="M11" s="23"/>
    </row>
    <row r="12" spans="1:31" customFormat="1" ht="27.75" customHeight="1" x14ac:dyDescent="0.25">
      <c r="B12" s="477" t="s">
        <v>10</v>
      </c>
      <c r="C12" s="478"/>
      <c r="D12" s="478"/>
      <c r="E12" s="478"/>
      <c r="F12" s="478"/>
      <c r="G12" s="478"/>
      <c r="H12" s="478"/>
      <c r="I12" s="478"/>
      <c r="J12" s="479"/>
      <c r="K12" s="23"/>
      <c r="L12" s="23"/>
      <c r="M12" s="23"/>
      <c r="N12" s="8"/>
      <c r="O12" s="8"/>
      <c r="P12" s="8"/>
      <c r="Q12" s="8"/>
      <c r="R12" s="8"/>
      <c r="S12" s="8"/>
      <c r="T12" s="8"/>
      <c r="U12" s="8"/>
      <c r="V12" s="8"/>
      <c r="W12" s="8"/>
      <c r="X12" s="8"/>
      <c r="Y12" s="8"/>
      <c r="Z12" s="8"/>
      <c r="AA12" s="8"/>
      <c r="AB12" s="8"/>
      <c r="AC12" s="8"/>
      <c r="AD12" s="8"/>
      <c r="AE12" s="8"/>
    </row>
    <row r="13" spans="1:31" customFormat="1" ht="27" customHeight="1" x14ac:dyDescent="0.25">
      <c r="B13" s="35" t="s">
        <v>11</v>
      </c>
      <c r="C13" s="35" t="s">
        <v>12</v>
      </c>
      <c r="D13" s="85" t="s">
        <v>13</v>
      </c>
      <c r="E13" s="36" t="s">
        <v>14</v>
      </c>
      <c r="F13" s="85" t="s">
        <v>15</v>
      </c>
      <c r="G13" s="36" t="s">
        <v>16</v>
      </c>
      <c r="H13" s="36" t="s">
        <v>86</v>
      </c>
      <c r="I13" s="36" t="s">
        <v>87</v>
      </c>
      <c r="J13" s="35" t="s">
        <v>17</v>
      </c>
      <c r="K13" s="23"/>
      <c r="L13" s="23"/>
      <c r="M13" s="8"/>
      <c r="N13" s="8"/>
      <c r="O13" s="8"/>
      <c r="P13" s="8"/>
      <c r="Q13" s="8"/>
      <c r="R13" s="8"/>
      <c r="S13" s="8"/>
      <c r="T13" s="8"/>
      <c r="U13" s="8"/>
      <c r="V13" s="8"/>
      <c r="W13" s="8"/>
      <c r="X13" s="8"/>
      <c r="Y13" s="8"/>
      <c r="Z13" s="8"/>
      <c r="AA13" s="8"/>
      <c r="AB13" s="8"/>
      <c r="AC13" s="8"/>
      <c r="AD13" s="8"/>
      <c r="AE13" s="8"/>
    </row>
    <row r="14" spans="1:31" customFormat="1" ht="15" customHeight="1" x14ac:dyDescent="0.25">
      <c r="B14" s="37">
        <v>1</v>
      </c>
      <c r="C14" s="105" t="s">
        <v>82</v>
      </c>
      <c r="D14" s="108">
        <v>1</v>
      </c>
      <c r="E14" s="287">
        <v>5</v>
      </c>
      <c r="F14" s="276">
        <v>1</v>
      </c>
      <c r="G14" s="127">
        <f>'Analisis de mercado_ honorarios'!H6</f>
        <v>8074100</v>
      </c>
      <c r="H14" s="128"/>
      <c r="I14" s="84"/>
      <c r="J14" s="131">
        <f>D14*E14*F14*G14</f>
        <v>40370500</v>
      </c>
      <c r="K14" s="23"/>
      <c r="L14" s="23"/>
      <c r="M14" s="8"/>
      <c r="N14" s="8"/>
      <c r="O14" s="8"/>
      <c r="P14" s="8"/>
      <c r="Q14" s="8"/>
      <c r="R14" s="8"/>
      <c r="S14" s="8"/>
      <c r="T14" s="8"/>
      <c r="U14" s="8"/>
      <c r="V14" s="8"/>
      <c r="W14" s="8"/>
      <c r="X14" s="8"/>
      <c r="Y14" s="8"/>
      <c r="Z14" s="8"/>
      <c r="AA14" s="8"/>
      <c r="AB14" s="8"/>
      <c r="AC14" s="8"/>
      <c r="AD14" s="8"/>
      <c r="AE14" s="8"/>
    </row>
    <row r="15" spans="1:31" customFormat="1" ht="15" customHeight="1" x14ac:dyDescent="0.25">
      <c r="B15" s="37">
        <v>2</v>
      </c>
      <c r="C15" s="106" t="s">
        <v>83</v>
      </c>
      <c r="D15" s="108">
        <v>1</v>
      </c>
      <c r="E15" s="287">
        <v>5</v>
      </c>
      <c r="F15" s="276">
        <v>1</v>
      </c>
      <c r="G15" s="127">
        <f>'Analisis de mercado_ honorarios'!H7</f>
        <v>4054386.8493750002</v>
      </c>
      <c r="H15" s="128"/>
      <c r="I15" s="84"/>
      <c r="J15" s="131">
        <f>D15*E15*F15*G15</f>
        <v>20271934.246875003</v>
      </c>
      <c r="K15" s="23"/>
      <c r="L15" s="23"/>
      <c r="M15" s="8"/>
      <c r="N15" s="8"/>
      <c r="O15" s="8"/>
      <c r="P15" s="8"/>
      <c r="Q15" s="8"/>
      <c r="R15" s="8"/>
      <c r="S15" s="8"/>
      <c r="T15" s="8"/>
      <c r="U15" s="8"/>
      <c r="V15" s="8"/>
      <c r="W15" s="8"/>
      <c r="X15" s="8"/>
      <c r="Y15" s="8"/>
      <c r="Z15" s="8"/>
      <c r="AA15" s="8"/>
      <c r="AB15" s="8"/>
      <c r="AC15" s="8"/>
      <c r="AD15" s="8"/>
      <c r="AE15" s="8"/>
    </row>
    <row r="16" spans="1:31" customFormat="1" x14ac:dyDescent="0.25">
      <c r="B16" s="37">
        <v>3</v>
      </c>
      <c r="C16" s="105" t="s">
        <v>84</v>
      </c>
      <c r="D16" s="108">
        <v>1</v>
      </c>
      <c r="E16" s="287">
        <v>3</v>
      </c>
      <c r="F16" s="276">
        <v>1</v>
      </c>
      <c r="G16" s="127">
        <f>'Analisis de mercado_ honorarios'!H8</f>
        <v>5665715</v>
      </c>
      <c r="H16" s="128"/>
      <c r="I16" s="84"/>
      <c r="J16" s="131">
        <f>D16*E16*F16*G16</f>
        <v>16997145</v>
      </c>
      <c r="K16" s="23"/>
      <c r="L16" s="23"/>
      <c r="M16" s="8"/>
      <c r="N16" s="8"/>
      <c r="O16" s="8"/>
      <c r="P16" s="8"/>
      <c r="Q16" s="8"/>
      <c r="R16" s="8"/>
      <c r="S16" s="8"/>
      <c r="T16" s="8"/>
      <c r="U16" s="8"/>
      <c r="V16" s="8"/>
      <c r="W16" s="8"/>
      <c r="X16" s="8"/>
      <c r="Y16" s="8"/>
      <c r="Z16" s="8"/>
      <c r="AA16" s="8"/>
      <c r="AB16" s="8"/>
      <c r="AC16" s="8"/>
      <c r="AD16" s="8"/>
      <c r="AE16" s="8"/>
    </row>
    <row r="17" spans="1:31" customFormat="1" ht="48" x14ac:dyDescent="0.25">
      <c r="B17" s="37">
        <v>4</v>
      </c>
      <c r="C17" s="106" t="s">
        <v>98</v>
      </c>
      <c r="D17" s="108">
        <v>1</v>
      </c>
      <c r="E17" s="287">
        <v>5</v>
      </c>
      <c r="F17" s="276">
        <v>1</v>
      </c>
      <c r="G17" s="127">
        <f>'Analisis de mercado_ honorarios'!H9</f>
        <v>6479800</v>
      </c>
      <c r="H17" s="128"/>
      <c r="I17" s="84"/>
      <c r="J17" s="131">
        <f>D17*E17*F17*G17</f>
        <v>32399000</v>
      </c>
      <c r="K17" s="23"/>
      <c r="L17" s="23"/>
      <c r="M17" s="8"/>
      <c r="N17" s="8"/>
      <c r="O17" s="8"/>
      <c r="P17" s="8"/>
      <c r="Q17" s="8"/>
      <c r="R17" s="8"/>
      <c r="S17" s="8"/>
      <c r="T17" s="8"/>
      <c r="U17" s="8"/>
      <c r="V17" s="8"/>
      <c r="W17" s="8"/>
      <c r="X17" s="8"/>
      <c r="Y17" s="8"/>
      <c r="Z17" s="8"/>
      <c r="AA17" s="8"/>
      <c r="AB17" s="8"/>
      <c r="AC17" s="8"/>
      <c r="AD17" s="8"/>
      <c r="AE17" s="8"/>
    </row>
    <row r="18" spans="1:31" customFormat="1" ht="36" x14ac:dyDescent="0.25">
      <c r="B18" s="37">
        <v>5</v>
      </c>
      <c r="C18" s="105" t="s">
        <v>99</v>
      </c>
      <c r="D18" s="108">
        <v>1</v>
      </c>
      <c r="E18" s="287">
        <v>5</v>
      </c>
      <c r="F18" s="276">
        <v>1</v>
      </c>
      <c r="G18" s="127">
        <f>'Analisis de mercado_ honorarios'!H10</f>
        <v>6479800</v>
      </c>
      <c r="H18" s="128"/>
      <c r="I18" s="84"/>
      <c r="J18" s="131">
        <f>D18*E18*F18*G18</f>
        <v>32399000</v>
      </c>
      <c r="K18" s="23"/>
      <c r="L18" s="23"/>
      <c r="M18" s="8"/>
      <c r="N18" s="8"/>
      <c r="O18" s="8"/>
      <c r="P18" s="8"/>
      <c r="Q18" s="8"/>
      <c r="R18" s="8"/>
      <c r="S18" s="8"/>
      <c r="T18" s="8"/>
      <c r="U18" s="8"/>
      <c r="V18" s="8"/>
      <c r="W18" s="8"/>
      <c r="X18" s="8"/>
      <c r="Y18" s="8"/>
      <c r="Z18" s="8"/>
      <c r="AA18" s="8"/>
      <c r="AB18" s="8"/>
      <c r="AC18" s="8"/>
      <c r="AD18" s="8"/>
      <c r="AE18" s="8"/>
    </row>
    <row r="19" spans="1:31" customFormat="1" ht="48" x14ac:dyDescent="0.25">
      <c r="B19" s="37">
        <v>6</v>
      </c>
      <c r="C19" s="106" t="s">
        <v>100</v>
      </c>
      <c r="D19" s="108">
        <v>1</v>
      </c>
      <c r="E19" s="287">
        <v>5</v>
      </c>
      <c r="F19" s="276">
        <v>0.5</v>
      </c>
      <c r="G19" s="127">
        <f>'Analisis de mercado_ honorarios'!H11</f>
        <v>6479800</v>
      </c>
      <c r="H19" s="128"/>
      <c r="I19" s="84"/>
      <c r="J19" s="131">
        <f t="shared" ref="J19:J26" si="0">D19*E19*F19*G19</f>
        <v>16199500</v>
      </c>
      <c r="K19" s="23"/>
      <c r="L19" s="23"/>
      <c r="M19" s="8"/>
      <c r="N19" s="8"/>
      <c r="O19" s="8"/>
      <c r="P19" s="8"/>
      <c r="Q19" s="8"/>
      <c r="R19" s="8"/>
      <c r="S19" s="8"/>
      <c r="T19" s="8"/>
      <c r="U19" s="8"/>
      <c r="V19" s="8"/>
      <c r="W19" s="8"/>
      <c r="X19" s="8"/>
      <c r="Y19" s="8"/>
      <c r="Z19" s="8"/>
      <c r="AA19" s="8"/>
      <c r="AB19" s="8"/>
      <c r="AC19" s="8"/>
      <c r="AD19" s="8"/>
      <c r="AE19" s="8"/>
    </row>
    <row r="20" spans="1:31" customFormat="1" ht="48" x14ac:dyDescent="0.25">
      <c r="B20" s="37">
        <v>7</v>
      </c>
      <c r="C20" s="105" t="s">
        <v>101</v>
      </c>
      <c r="D20" s="108">
        <v>1</v>
      </c>
      <c r="E20" s="287">
        <v>5</v>
      </c>
      <c r="F20" s="276">
        <v>1</v>
      </c>
      <c r="G20" s="127">
        <f>'Analisis de mercado_ honorarios'!H12</f>
        <v>6479800</v>
      </c>
      <c r="H20" s="128"/>
      <c r="I20" s="84"/>
      <c r="J20" s="131">
        <f t="shared" si="0"/>
        <v>32399000</v>
      </c>
      <c r="K20" s="23"/>
      <c r="L20" s="23"/>
      <c r="M20" s="8"/>
      <c r="N20" s="8"/>
      <c r="O20" s="8"/>
      <c r="P20" s="8"/>
      <c r="Q20" s="8"/>
      <c r="R20" s="8"/>
      <c r="S20" s="8"/>
      <c r="T20" s="8"/>
      <c r="U20" s="8"/>
      <c r="V20" s="8"/>
      <c r="W20" s="8"/>
      <c r="X20" s="8"/>
      <c r="Y20" s="8"/>
      <c r="Z20" s="8"/>
      <c r="AA20" s="8"/>
      <c r="AB20" s="8"/>
      <c r="AC20" s="8"/>
      <c r="AD20" s="8"/>
      <c r="AE20" s="8"/>
    </row>
    <row r="21" spans="1:31" customFormat="1" ht="43.5" customHeight="1" x14ac:dyDescent="0.25">
      <c r="B21" s="37">
        <v>8</v>
      </c>
      <c r="C21" s="106" t="s">
        <v>102</v>
      </c>
      <c r="D21" s="108">
        <v>1</v>
      </c>
      <c r="E21" s="287">
        <v>5</v>
      </c>
      <c r="F21" s="276">
        <v>0.5</v>
      </c>
      <c r="G21" s="127">
        <f>'Analisis de mercado_ honorarios'!H13</f>
        <v>6479800</v>
      </c>
      <c r="H21" s="128"/>
      <c r="I21" s="84"/>
      <c r="J21" s="131">
        <f t="shared" si="0"/>
        <v>16199500</v>
      </c>
      <c r="K21" s="23"/>
      <c r="L21" s="23"/>
      <c r="M21" s="8"/>
      <c r="N21" s="8"/>
      <c r="O21" s="8"/>
      <c r="P21" s="8"/>
      <c r="Q21" s="8"/>
      <c r="R21" s="8"/>
      <c r="S21" s="8"/>
      <c r="T21" s="8"/>
      <c r="U21" s="8"/>
      <c r="V21" s="8"/>
      <c r="W21" s="8"/>
      <c r="X21" s="8"/>
      <c r="Y21" s="8"/>
      <c r="Z21" s="8"/>
      <c r="AA21" s="8"/>
      <c r="AB21" s="8"/>
      <c r="AC21" s="8"/>
      <c r="AD21" s="8"/>
      <c r="AE21" s="8"/>
    </row>
    <row r="22" spans="1:31" customFormat="1" x14ac:dyDescent="0.25">
      <c r="B22" s="103">
        <v>9</v>
      </c>
      <c r="C22" s="107" t="s">
        <v>85</v>
      </c>
      <c r="D22" s="109">
        <v>3</v>
      </c>
      <c r="E22" s="288">
        <v>4</v>
      </c>
      <c r="F22" s="277">
        <v>1</v>
      </c>
      <c r="G22" s="278">
        <f>'Analisis de mercado_ honorarios'!H14</f>
        <v>4240024.6705000009</v>
      </c>
      <c r="H22" s="129"/>
      <c r="I22" s="104"/>
      <c r="J22" s="131">
        <f t="shared" si="0"/>
        <v>50880296.046000011</v>
      </c>
      <c r="K22" s="23"/>
      <c r="L22" s="23"/>
      <c r="M22" s="8"/>
      <c r="N22" s="8"/>
      <c r="O22" s="8"/>
      <c r="P22" s="8"/>
      <c r="Q22" s="8"/>
      <c r="R22" s="8"/>
      <c r="S22" s="8"/>
      <c r="T22" s="8"/>
      <c r="U22" s="8"/>
      <c r="V22" s="8"/>
      <c r="W22" s="8"/>
      <c r="X22" s="8"/>
      <c r="Y22" s="8"/>
      <c r="Z22" s="8"/>
      <c r="AA22" s="8"/>
      <c r="AB22" s="8"/>
      <c r="AC22" s="8"/>
      <c r="AD22" s="8"/>
      <c r="AE22" s="8"/>
    </row>
    <row r="23" spans="1:31" customFormat="1" x14ac:dyDescent="0.25">
      <c r="B23" s="279"/>
      <c r="C23" s="280" t="s">
        <v>206</v>
      </c>
      <c r="D23" s="281"/>
      <c r="E23" s="282"/>
      <c r="F23" s="283"/>
      <c r="G23" s="291"/>
      <c r="H23" s="284"/>
      <c r="I23" s="285"/>
      <c r="J23" s="286"/>
      <c r="K23" s="23"/>
      <c r="L23" s="23"/>
      <c r="M23" s="8"/>
      <c r="N23" s="8"/>
      <c r="O23" s="8"/>
      <c r="P23" s="8"/>
      <c r="Q23" s="8"/>
      <c r="R23" s="8"/>
      <c r="S23" s="8"/>
      <c r="T23" s="8"/>
      <c r="U23" s="8"/>
      <c r="V23" s="8"/>
      <c r="W23" s="8"/>
      <c r="X23" s="8"/>
      <c r="Y23" s="8"/>
      <c r="Z23" s="8"/>
      <c r="AA23" s="8"/>
      <c r="AB23" s="8"/>
      <c r="AC23" s="8"/>
      <c r="AD23" s="8"/>
      <c r="AE23" s="8"/>
    </row>
    <row r="24" spans="1:31" customFormat="1" x14ac:dyDescent="0.25">
      <c r="B24" s="103">
        <v>10</v>
      </c>
      <c r="C24" s="106" t="s">
        <v>108</v>
      </c>
      <c r="D24" s="275">
        <v>1</v>
      </c>
      <c r="E24" s="125">
        <v>4</v>
      </c>
      <c r="F24" s="276">
        <v>0.5</v>
      </c>
      <c r="G24" s="278">
        <f>'Analisis de mercado_ honorarios'!H15</f>
        <v>6729800</v>
      </c>
      <c r="H24" s="292"/>
      <c r="I24" s="116"/>
      <c r="J24" s="131">
        <f t="shared" si="0"/>
        <v>13459600</v>
      </c>
      <c r="K24" s="23"/>
      <c r="L24" s="23"/>
      <c r="M24" s="8"/>
      <c r="N24" s="8"/>
      <c r="O24" s="8"/>
      <c r="P24" s="8"/>
      <c r="Q24" s="8"/>
      <c r="R24" s="8"/>
      <c r="S24" s="8"/>
      <c r="T24" s="8"/>
      <c r="U24" s="8"/>
      <c r="V24" s="8"/>
      <c r="W24" s="8"/>
      <c r="X24" s="8"/>
      <c r="Y24" s="8"/>
      <c r="Z24" s="8"/>
      <c r="AA24" s="8"/>
      <c r="AB24" s="8"/>
      <c r="AC24" s="8"/>
      <c r="AD24" s="8"/>
      <c r="AE24" s="8"/>
    </row>
    <row r="25" spans="1:31" customFormat="1" x14ac:dyDescent="0.25">
      <c r="B25" s="103">
        <v>11</v>
      </c>
      <c r="C25" s="107" t="s">
        <v>109</v>
      </c>
      <c r="D25" s="275">
        <v>1</v>
      </c>
      <c r="E25" s="125">
        <v>5</v>
      </c>
      <c r="F25" s="276">
        <v>0.5</v>
      </c>
      <c r="G25" s="278">
        <f>'Analisis de mercado_ honorarios'!H16</f>
        <v>4206977.8406666666</v>
      </c>
      <c r="H25" s="292"/>
      <c r="I25" s="116"/>
      <c r="J25" s="131">
        <f t="shared" si="0"/>
        <v>10517444.601666667</v>
      </c>
      <c r="K25" s="23"/>
      <c r="L25" s="23"/>
      <c r="M25" s="8"/>
      <c r="N25" s="8"/>
      <c r="O25" s="8"/>
      <c r="P25" s="8"/>
      <c r="Q25" s="8"/>
      <c r="R25" s="8"/>
      <c r="S25" s="8"/>
      <c r="T25" s="8"/>
      <c r="U25" s="8"/>
      <c r="V25" s="8"/>
      <c r="W25" s="8"/>
      <c r="X25" s="8"/>
      <c r="Y25" s="8"/>
      <c r="Z25" s="8"/>
      <c r="AA25" s="8"/>
      <c r="AB25" s="8"/>
      <c r="AC25" s="8"/>
      <c r="AD25" s="8"/>
      <c r="AE25" s="8"/>
    </row>
    <row r="26" spans="1:31" customFormat="1" ht="36" x14ac:dyDescent="0.25">
      <c r="B26" s="113">
        <v>13</v>
      </c>
      <c r="C26" s="106" t="s">
        <v>110</v>
      </c>
      <c r="D26" s="275">
        <v>1</v>
      </c>
      <c r="E26" s="125">
        <v>5</v>
      </c>
      <c r="F26" s="276">
        <v>0.5</v>
      </c>
      <c r="G26" s="278">
        <v>17000000</v>
      </c>
      <c r="H26" s="130"/>
      <c r="I26" s="116"/>
      <c r="J26" s="131">
        <f t="shared" si="0"/>
        <v>42500000</v>
      </c>
      <c r="K26" s="23"/>
      <c r="L26" s="23"/>
      <c r="N26" s="8"/>
      <c r="O26" s="8"/>
      <c r="P26" s="8"/>
      <c r="Q26" s="8"/>
      <c r="R26" s="8"/>
      <c r="S26" s="8"/>
      <c r="T26" s="8"/>
      <c r="U26" s="8"/>
      <c r="V26" s="8"/>
      <c r="W26" s="8"/>
      <c r="X26" s="8"/>
      <c r="Y26" s="8"/>
      <c r="Z26" s="8"/>
      <c r="AA26" s="8"/>
      <c r="AB26" s="8"/>
      <c r="AC26" s="8"/>
      <c r="AD26" s="8"/>
      <c r="AE26" s="8"/>
    </row>
    <row r="27" spans="1:31" customFormat="1" x14ac:dyDescent="0.25">
      <c r="A27" s="8"/>
      <c r="B27" s="10"/>
      <c r="C27" s="122"/>
      <c r="D27" s="8"/>
      <c r="E27" s="8"/>
      <c r="F27" s="8"/>
      <c r="G27" s="119">
        <f>SUM(G14:G26)</f>
        <v>82370004.360541672</v>
      </c>
      <c r="H27" s="119">
        <f>SUM(H14:H26)</f>
        <v>0</v>
      </c>
      <c r="I27" s="119">
        <f>SUM(I14:I26)</f>
        <v>0</v>
      </c>
      <c r="J27" s="8"/>
      <c r="K27" s="23"/>
      <c r="L27" s="23"/>
      <c r="M27" s="8"/>
      <c r="N27" s="8"/>
      <c r="O27" s="8"/>
      <c r="P27" s="8"/>
      <c r="Q27" s="8"/>
      <c r="R27" s="8"/>
      <c r="S27" s="8"/>
      <c r="T27" s="8"/>
      <c r="U27" s="8"/>
      <c r="V27" s="8"/>
      <c r="W27" s="8"/>
      <c r="X27" s="8"/>
      <c r="Y27" s="8"/>
      <c r="Z27" s="8"/>
      <c r="AA27" s="8"/>
      <c r="AB27" s="8"/>
      <c r="AC27" s="8"/>
      <c r="AD27" s="8"/>
      <c r="AE27" s="8"/>
    </row>
    <row r="28" spans="1:31" customFormat="1" ht="16.5" thickBot="1" x14ac:dyDescent="0.3">
      <c r="B28" s="4" t="s">
        <v>18</v>
      </c>
      <c r="C28" s="121"/>
      <c r="D28" s="5"/>
      <c r="E28" s="5"/>
      <c r="F28" s="5"/>
      <c r="G28" s="5"/>
      <c r="H28" s="5"/>
      <c r="I28" s="5"/>
      <c r="J28" s="60">
        <f>SUM(J14:J26)</f>
        <v>324592919.89454168</v>
      </c>
      <c r="K28" s="17"/>
      <c r="L28" s="298"/>
      <c r="M28" s="79"/>
      <c r="N28" s="8"/>
      <c r="O28" s="8"/>
      <c r="P28" s="8"/>
      <c r="Q28" s="8"/>
      <c r="R28" s="8"/>
      <c r="S28" s="8"/>
      <c r="T28" s="8"/>
      <c r="U28" s="8"/>
      <c r="V28" s="8"/>
      <c r="W28" s="8"/>
      <c r="X28" s="8"/>
      <c r="Y28" s="8"/>
      <c r="Z28" s="8"/>
      <c r="AA28" s="8"/>
      <c r="AB28" s="8"/>
      <c r="AC28" s="8"/>
      <c r="AD28" s="8"/>
      <c r="AE28" s="8"/>
    </row>
    <row r="29" spans="1:31" x14ac:dyDescent="0.25"/>
    <row r="30" spans="1:31" ht="20.100000000000001" customHeight="1" x14ac:dyDescent="0.25">
      <c r="A30"/>
      <c r="B30" s="477" t="s">
        <v>19</v>
      </c>
      <c r="C30" s="478"/>
      <c r="D30" s="478"/>
      <c r="E30" s="478"/>
      <c r="F30" s="478"/>
      <c r="G30" s="478"/>
      <c r="H30" s="478"/>
      <c r="I30" s="478"/>
      <c r="J30" s="479"/>
      <c r="K30" s="23"/>
    </row>
    <row r="31" spans="1:31" ht="22.5" x14ac:dyDescent="0.25">
      <c r="A31"/>
      <c r="B31" s="35" t="s">
        <v>11</v>
      </c>
      <c r="C31" s="35" t="s">
        <v>20</v>
      </c>
      <c r="D31" s="36" t="s">
        <v>21</v>
      </c>
      <c r="E31" s="36" t="s">
        <v>22</v>
      </c>
      <c r="F31" s="36" t="s">
        <v>213</v>
      </c>
      <c r="G31" s="36" t="s">
        <v>212</v>
      </c>
      <c r="H31" s="36" t="s">
        <v>86</v>
      </c>
      <c r="I31" s="36" t="s">
        <v>87</v>
      </c>
      <c r="J31" s="36" t="s">
        <v>211</v>
      </c>
      <c r="K31" s="23"/>
    </row>
    <row r="32" spans="1:31" ht="23.1" customHeight="1" x14ac:dyDescent="0.25">
      <c r="A32"/>
      <c r="B32" s="37">
        <v>5</v>
      </c>
      <c r="C32" s="38" t="s">
        <v>26</v>
      </c>
      <c r="D32" s="58"/>
      <c r="E32" s="39" t="s">
        <v>27</v>
      </c>
      <c r="F32" s="59">
        <f>'A. mercado_ gestión Editorial  '!H3</f>
        <v>9725000</v>
      </c>
      <c r="G32" s="83" t="s">
        <v>28</v>
      </c>
      <c r="H32" s="83"/>
      <c r="I32" s="83"/>
      <c r="J32" s="131">
        <v>9725000</v>
      </c>
      <c r="K32" s="23"/>
    </row>
    <row r="33" spans="1:31" ht="24" customHeight="1" x14ac:dyDescent="0.25">
      <c r="A33"/>
      <c r="B33" s="37">
        <v>6</v>
      </c>
      <c r="C33" s="38" t="s">
        <v>29</v>
      </c>
      <c r="D33" s="58"/>
      <c r="E33" s="39" t="s">
        <v>27</v>
      </c>
      <c r="F33" s="59">
        <f>'A. mercado_ gestión Editorial  '!H4</f>
        <v>3750000</v>
      </c>
      <c r="G33" s="83" t="s">
        <v>28</v>
      </c>
      <c r="H33" s="83"/>
      <c r="I33" s="83"/>
      <c r="J33" s="131">
        <f>F33</f>
        <v>3750000</v>
      </c>
      <c r="K33" s="23"/>
    </row>
    <row r="34" spans="1:31" ht="24" customHeight="1" x14ac:dyDescent="0.25">
      <c r="A34"/>
      <c r="B34" s="37">
        <v>7</v>
      </c>
      <c r="C34" s="38" t="s">
        <v>30</v>
      </c>
      <c r="D34" s="58"/>
      <c r="E34" s="39" t="s">
        <v>27</v>
      </c>
      <c r="F34" s="59">
        <f>'A. mercado_ gestión Editorial  '!H5</f>
        <v>19312500</v>
      </c>
      <c r="G34" s="83" t="s">
        <v>28</v>
      </c>
      <c r="H34" s="83"/>
      <c r="I34" s="83"/>
      <c r="J34" s="131">
        <f>F34</f>
        <v>19312500</v>
      </c>
      <c r="K34" s="23"/>
    </row>
    <row r="35" spans="1:31" ht="97.5" customHeight="1" x14ac:dyDescent="0.25">
      <c r="A35"/>
      <c r="B35" s="37">
        <v>8</v>
      </c>
      <c r="C35" s="38" t="s">
        <v>97</v>
      </c>
      <c r="D35" s="58"/>
      <c r="E35" s="39" t="s">
        <v>27</v>
      </c>
      <c r="F35" s="59">
        <f>'A. mercado_ gestión Editorial  '!H6</f>
        <v>9300000</v>
      </c>
      <c r="G35" s="83" t="s">
        <v>28</v>
      </c>
      <c r="H35" s="83"/>
      <c r="I35" s="83"/>
      <c r="J35" s="131">
        <v>9300000</v>
      </c>
      <c r="K35" s="23"/>
    </row>
    <row r="36" spans="1:31" x14ac:dyDescent="0.25">
      <c r="B36" s="8"/>
      <c r="H36" s="120">
        <f>H32+H33+H34+H35</f>
        <v>0</v>
      </c>
      <c r="I36" s="120">
        <f>I32+I33+I34+I35</f>
        <v>0</v>
      </c>
      <c r="K36" s="18"/>
    </row>
    <row r="37" spans="1:31" ht="16.5" thickBot="1" x14ac:dyDescent="0.3">
      <c r="A37"/>
      <c r="B37" s="25" t="s">
        <v>31</v>
      </c>
      <c r="C37" s="26"/>
      <c r="D37" s="26"/>
      <c r="E37" s="26"/>
      <c r="F37" s="26"/>
      <c r="G37" s="26"/>
      <c r="H37" s="26"/>
      <c r="I37" s="26"/>
      <c r="J37" s="61">
        <f>SUM(J32:J35)</f>
        <v>42087500</v>
      </c>
      <c r="K37"/>
      <c r="L37" s="298"/>
    </row>
    <row r="38" spans="1:31" x14ac:dyDescent="0.25">
      <c r="J38" s="79"/>
    </row>
    <row r="39" spans="1:31" x14ac:dyDescent="0.25">
      <c r="K39" s="23"/>
    </row>
    <row r="40" spans="1:31" customFormat="1" ht="34.5" customHeight="1" x14ac:dyDescent="0.25">
      <c r="B40" s="477" t="s">
        <v>32</v>
      </c>
      <c r="C40" s="478"/>
      <c r="D40" s="478"/>
      <c r="E40" s="478"/>
      <c r="F40" s="478"/>
      <c r="G40" s="478"/>
      <c r="H40" s="478"/>
      <c r="I40" s="478"/>
      <c r="J40" s="479"/>
      <c r="K40" s="23"/>
      <c r="L40" s="8"/>
      <c r="M40" s="8"/>
      <c r="N40" s="8"/>
      <c r="O40" s="8"/>
      <c r="P40" s="8"/>
      <c r="Q40" s="8"/>
      <c r="R40" s="8"/>
      <c r="S40" s="8"/>
      <c r="T40" s="8"/>
      <c r="U40" s="8"/>
      <c r="V40" s="8"/>
      <c r="W40" s="8"/>
      <c r="X40" s="8"/>
      <c r="Y40" s="8"/>
      <c r="Z40" s="8"/>
      <c r="AA40" s="8"/>
      <c r="AB40" s="8"/>
      <c r="AC40" s="8"/>
      <c r="AD40" s="8"/>
      <c r="AE40" s="8"/>
    </row>
    <row r="41" spans="1:31" customFormat="1" ht="36" customHeight="1" x14ac:dyDescent="0.25">
      <c r="B41" s="35" t="s">
        <v>11</v>
      </c>
      <c r="C41" s="35" t="s">
        <v>20</v>
      </c>
      <c r="D41" s="36" t="s">
        <v>21</v>
      </c>
      <c r="E41" s="36" t="s">
        <v>22</v>
      </c>
      <c r="F41" s="36" t="s">
        <v>23</v>
      </c>
      <c r="G41" s="36" t="s">
        <v>33</v>
      </c>
      <c r="H41" s="36" t="s">
        <v>86</v>
      </c>
      <c r="I41" s="36" t="s">
        <v>87</v>
      </c>
      <c r="J41" s="36" t="s">
        <v>25</v>
      </c>
      <c r="K41" s="23"/>
      <c r="L41" s="80"/>
      <c r="M41" s="8"/>
      <c r="N41" s="8"/>
      <c r="O41" s="8"/>
      <c r="P41" s="8"/>
      <c r="Q41" s="8"/>
      <c r="R41" s="8"/>
      <c r="S41" s="8"/>
      <c r="T41" s="8"/>
      <c r="U41" s="8"/>
      <c r="V41" s="8"/>
      <c r="W41" s="8"/>
      <c r="X41" s="8"/>
      <c r="Y41" s="8"/>
      <c r="Z41" s="8"/>
      <c r="AA41" s="8"/>
      <c r="AB41" s="8"/>
      <c r="AC41" s="8"/>
      <c r="AD41" s="8"/>
      <c r="AE41" s="8"/>
    </row>
    <row r="42" spans="1:31" customFormat="1" ht="35.25" customHeight="1" x14ac:dyDescent="0.25">
      <c r="B42" s="37">
        <v>9</v>
      </c>
      <c r="C42" s="38" t="s">
        <v>88</v>
      </c>
      <c r="D42" s="81">
        <v>6</v>
      </c>
      <c r="E42" s="39" t="s">
        <v>34</v>
      </c>
      <c r="F42" s="296">
        <v>10550000</v>
      </c>
      <c r="G42" s="83" t="s">
        <v>28</v>
      </c>
      <c r="H42" s="83"/>
      <c r="I42" s="83"/>
      <c r="J42" s="131">
        <f>D42*F42</f>
        <v>63300000</v>
      </c>
      <c r="K42" s="23"/>
      <c r="L42" s="8"/>
      <c r="M42" s="8"/>
      <c r="N42" s="8"/>
      <c r="O42" s="8"/>
      <c r="P42" s="8"/>
      <c r="Q42" s="8"/>
      <c r="R42" s="8"/>
      <c r="S42" s="8"/>
      <c r="T42" s="8"/>
      <c r="U42" s="8"/>
      <c r="V42" s="8"/>
      <c r="W42" s="8"/>
      <c r="X42" s="8"/>
      <c r="Y42" s="8"/>
      <c r="Z42" s="8"/>
      <c r="AA42" s="8"/>
      <c r="AB42" s="8"/>
      <c r="AC42" s="8"/>
      <c r="AD42" s="8"/>
      <c r="AE42" s="8"/>
    </row>
    <row r="43" spans="1:31" customFormat="1" ht="66" customHeight="1" x14ac:dyDescent="0.25">
      <c r="B43" s="37">
        <v>10</v>
      </c>
      <c r="C43" s="111" t="s">
        <v>95</v>
      </c>
      <c r="D43" s="295">
        <v>1</v>
      </c>
      <c r="E43" s="112" t="s">
        <v>27</v>
      </c>
      <c r="F43" s="297">
        <f>'Eventos y herramientas '!I17</f>
        <v>87580162.424500003</v>
      </c>
      <c r="G43" s="110" t="s">
        <v>28</v>
      </c>
      <c r="H43" s="110"/>
      <c r="I43" s="110"/>
      <c r="J43" s="131">
        <f>D43*F43</f>
        <v>87580162.424500003</v>
      </c>
      <c r="K43" s="23"/>
      <c r="L43" s="8"/>
      <c r="M43" s="8"/>
      <c r="N43" s="8"/>
      <c r="O43" s="8"/>
      <c r="P43" s="8"/>
      <c r="Q43" s="8"/>
      <c r="R43" s="8"/>
      <c r="S43" s="8"/>
      <c r="T43" s="8"/>
      <c r="U43" s="8"/>
      <c r="V43" s="8"/>
      <c r="W43" s="8"/>
      <c r="X43" s="8"/>
      <c r="Y43" s="8"/>
      <c r="Z43" s="8"/>
      <c r="AA43" s="8"/>
      <c r="AB43" s="8"/>
      <c r="AC43" s="8"/>
      <c r="AD43" s="8"/>
      <c r="AE43" s="8"/>
    </row>
    <row r="44" spans="1:31" customFormat="1" ht="36" customHeight="1" x14ac:dyDescent="0.25">
      <c r="B44" s="293">
        <v>11</v>
      </c>
      <c r="C44" s="124" t="s">
        <v>106</v>
      </c>
      <c r="D44" s="108">
        <v>1</v>
      </c>
      <c r="E44" s="115" t="s">
        <v>27</v>
      </c>
      <c r="F44" s="278">
        <f>'Eventos y herramientas '!I18</f>
        <v>72580162.424500003</v>
      </c>
      <c r="G44" s="117" t="s">
        <v>28</v>
      </c>
      <c r="H44" s="117"/>
      <c r="I44" s="117"/>
      <c r="J44" s="131">
        <f t="shared" ref="J44:J45" si="1">D44*F44</f>
        <v>72580162.424500003</v>
      </c>
      <c r="K44" s="23"/>
      <c r="L44" s="8"/>
      <c r="M44" s="8"/>
      <c r="N44" s="8"/>
      <c r="O44" s="8"/>
      <c r="P44" s="8"/>
      <c r="Q44" s="8"/>
      <c r="R44" s="8"/>
      <c r="S44" s="8"/>
      <c r="T44" s="8"/>
      <c r="U44" s="8"/>
      <c r="V44" s="8"/>
      <c r="W44" s="8"/>
      <c r="X44" s="8"/>
      <c r="Y44" s="8"/>
      <c r="Z44" s="8"/>
      <c r="AA44" s="8"/>
      <c r="AB44" s="8"/>
      <c r="AC44" s="8"/>
      <c r="AD44" s="8"/>
      <c r="AE44" s="8"/>
    </row>
    <row r="45" spans="1:31" customFormat="1" ht="41.25" customHeight="1" x14ac:dyDescent="0.25">
      <c r="B45" s="294">
        <v>12</v>
      </c>
      <c r="C45" s="114" t="s">
        <v>103</v>
      </c>
      <c r="D45" s="108">
        <v>1</v>
      </c>
      <c r="E45" s="115" t="s">
        <v>27</v>
      </c>
      <c r="F45" s="278">
        <v>17500000</v>
      </c>
      <c r="G45" s="117" t="s">
        <v>28</v>
      </c>
      <c r="H45" s="117"/>
      <c r="I45" s="117"/>
      <c r="J45" s="131">
        <f t="shared" si="1"/>
        <v>17500000</v>
      </c>
      <c r="K45" s="23"/>
      <c r="L45" s="8"/>
      <c r="M45" s="8"/>
      <c r="N45" s="8"/>
      <c r="O45" s="8"/>
      <c r="P45" s="8"/>
      <c r="Q45" s="8"/>
      <c r="R45" s="8"/>
      <c r="S45" s="8"/>
      <c r="T45" s="8"/>
      <c r="U45" s="8"/>
      <c r="V45" s="8"/>
      <c r="W45" s="8"/>
      <c r="X45" s="8"/>
      <c r="Y45" s="8"/>
      <c r="Z45" s="8"/>
      <c r="AA45" s="8"/>
      <c r="AB45" s="8"/>
      <c r="AC45" s="8"/>
      <c r="AD45" s="8"/>
      <c r="AE45" s="8"/>
    </row>
    <row r="46" spans="1:31" customFormat="1" ht="15.75" x14ac:dyDescent="0.25">
      <c r="B46" s="27" t="s">
        <v>35</v>
      </c>
      <c r="C46" s="28"/>
      <c r="D46" s="28"/>
      <c r="E46" s="28"/>
      <c r="F46" s="28"/>
      <c r="G46" s="28"/>
      <c r="H46" s="28"/>
      <c r="I46" s="28"/>
      <c r="J46" s="118">
        <f>SUM(J42:J45)</f>
        <v>240960324.84899998</v>
      </c>
      <c r="L46" s="34"/>
      <c r="M46" s="34"/>
      <c r="N46" s="34"/>
      <c r="O46" s="8"/>
      <c r="P46" s="8"/>
      <c r="Q46" s="8"/>
      <c r="R46" s="8"/>
      <c r="S46" s="8"/>
      <c r="T46" s="8"/>
      <c r="U46" s="8"/>
      <c r="V46" s="8"/>
      <c r="W46" s="8"/>
      <c r="X46" s="8"/>
      <c r="Y46" s="8"/>
      <c r="Z46" s="8"/>
      <c r="AA46" s="8"/>
      <c r="AB46" s="8"/>
      <c r="AC46" s="8"/>
      <c r="AD46" s="8"/>
      <c r="AE46" s="8"/>
    </row>
    <row r="47" spans="1:31" x14ac:dyDescent="0.25"/>
    <row r="48" spans="1:31" ht="19.5" thickBot="1" x14ac:dyDescent="0.3">
      <c r="B48" s="30" t="s">
        <v>36</v>
      </c>
      <c r="C48" s="31"/>
      <c r="D48" s="31"/>
      <c r="E48" s="31"/>
      <c r="F48" s="31"/>
      <c r="G48" s="31"/>
      <c r="H48" s="31"/>
      <c r="I48" s="31"/>
      <c r="J48" s="62">
        <f>+J28+J37</f>
        <v>366680419.89454168</v>
      </c>
    </row>
    <row r="49" spans="2:31" ht="15.75" x14ac:dyDescent="0.25">
      <c r="B49" s="27"/>
      <c r="C49" s="28"/>
      <c r="D49" s="28"/>
      <c r="E49" s="28"/>
      <c r="F49" s="28"/>
      <c r="G49" s="28"/>
      <c r="H49" s="28"/>
      <c r="I49" s="28"/>
      <c r="J49" s="28"/>
      <c r="K49" s="29"/>
    </row>
    <row r="50" spans="2:31" ht="19.5" thickBot="1" x14ac:dyDescent="0.3">
      <c r="B50" s="30" t="s">
        <v>37</v>
      </c>
      <c r="C50" s="31"/>
      <c r="D50" s="31"/>
      <c r="E50" s="31"/>
      <c r="F50" s="31"/>
      <c r="G50" s="31"/>
      <c r="H50" s="31"/>
      <c r="I50" s="31"/>
      <c r="J50" s="62">
        <f>+J46+J48</f>
        <v>607640744.74354172</v>
      </c>
      <c r="K50" s="29"/>
    </row>
    <row r="51" spans="2:31" ht="15.75" x14ac:dyDescent="0.25">
      <c r="B51" s="27"/>
      <c r="C51" s="28"/>
      <c r="D51" s="28"/>
      <c r="E51" s="28"/>
      <c r="F51" s="28"/>
      <c r="G51" s="28"/>
      <c r="H51" s="28"/>
      <c r="I51" s="28"/>
      <c r="J51" s="28"/>
      <c r="K51" s="29"/>
    </row>
    <row r="52" spans="2:31" ht="30" customHeight="1" x14ac:dyDescent="0.25">
      <c r="B52" s="488" t="s">
        <v>382</v>
      </c>
      <c r="C52" s="489"/>
      <c r="D52" s="489"/>
      <c r="E52" s="489"/>
      <c r="F52" s="489"/>
      <c r="G52" s="489"/>
      <c r="H52" s="489"/>
      <c r="I52" s="489"/>
      <c r="J52" s="490"/>
    </row>
    <row r="53" spans="2:31" ht="15.75" customHeight="1" x14ac:dyDescent="0.25">
      <c r="B53" s="32"/>
      <c r="C53" s="33"/>
      <c r="D53" s="33"/>
      <c r="E53" s="97" t="s">
        <v>39</v>
      </c>
      <c r="F53" s="467" t="s">
        <v>17</v>
      </c>
      <c r="G53" s="468"/>
      <c r="H53" s="468"/>
      <c r="I53" s="468"/>
      <c r="J53" s="469"/>
    </row>
    <row r="54" spans="2:31" customFormat="1" ht="36.950000000000003" customHeight="1" x14ac:dyDescent="0.25">
      <c r="B54" s="41">
        <v>13</v>
      </c>
      <c r="C54" s="482" t="s">
        <v>390</v>
      </c>
      <c r="D54" s="484"/>
      <c r="E54" s="63">
        <v>0.11</v>
      </c>
      <c r="F54" s="470">
        <f>+J48*E54</f>
        <v>40334846.188399583</v>
      </c>
      <c r="G54" s="471"/>
      <c r="H54" s="471"/>
      <c r="I54" s="471"/>
      <c r="J54" s="472"/>
      <c r="K54" s="8"/>
      <c r="L54" s="8"/>
      <c r="M54" s="8"/>
      <c r="N54" s="8"/>
      <c r="O54" s="8"/>
      <c r="P54" s="8"/>
      <c r="Q54" s="8"/>
      <c r="R54" s="8"/>
      <c r="S54" s="8"/>
      <c r="T54" s="8"/>
      <c r="U54" s="8"/>
      <c r="V54" s="8"/>
      <c r="W54" s="8"/>
      <c r="X54" s="8"/>
      <c r="Y54" s="8"/>
      <c r="Z54" s="8"/>
      <c r="AA54" s="8"/>
      <c r="AB54" s="8"/>
      <c r="AC54" s="8"/>
      <c r="AD54" s="8"/>
      <c r="AE54" s="8"/>
    </row>
    <row r="55" spans="2:31" x14ac:dyDescent="0.25">
      <c r="B55" s="1"/>
      <c r="C55" s="2"/>
      <c r="D55" s="2"/>
      <c r="E55" s="2"/>
      <c r="F55" s="2"/>
      <c r="G55" s="3"/>
      <c r="H55" s="3"/>
      <c r="I55" s="3"/>
      <c r="J55" s="2"/>
    </row>
    <row r="56" spans="2:31" customFormat="1" ht="24.75" customHeight="1" x14ac:dyDescent="0.25">
      <c r="B56" s="42" t="s">
        <v>41</v>
      </c>
      <c r="C56" s="42"/>
      <c r="D56" s="42"/>
      <c r="E56" s="42"/>
      <c r="F56" s="42"/>
      <c r="G56" s="494">
        <f>J50+F54</f>
        <v>647975590.93194127</v>
      </c>
      <c r="H56" s="494"/>
      <c r="I56" s="494"/>
      <c r="J56" s="494"/>
      <c r="K56" s="8"/>
      <c r="L56" s="8"/>
      <c r="M56" s="8"/>
      <c r="N56" s="8"/>
      <c r="O56" s="8"/>
      <c r="P56" s="8"/>
      <c r="Q56" s="8"/>
      <c r="R56" s="8"/>
      <c r="S56" s="8"/>
      <c r="T56" s="8"/>
      <c r="U56" s="8"/>
      <c r="V56" s="8"/>
      <c r="W56" s="8"/>
      <c r="X56" s="8"/>
      <c r="Y56" s="8"/>
      <c r="Z56" s="8"/>
      <c r="AA56" s="8"/>
      <c r="AB56" s="8"/>
      <c r="AC56" s="8"/>
      <c r="AD56" s="8"/>
      <c r="AE56" s="8"/>
    </row>
    <row r="57" spans="2:31" customFormat="1" ht="25.5" customHeight="1" x14ac:dyDescent="0.25">
      <c r="B57" s="41">
        <v>14</v>
      </c>
      <c r="C57" s="482" t="s">
        <v>42</v>
      </c>
      <c r="D57" s="483"/>
      <c r="E57" s="484"/>
      <c r="F57" s="43">
        <v>0.19</v>
      </c>
      <c r="G57" s="485">
        <f>G56*F57</f>
        <v>123115362.27706884</v>
      </c>
      <c r="H57" s="486"/>
      <c r="I57" s="486"/>
      <c r="J57" s="487"/>
      <c r="K57" s="8"/>
      <c r="L57" s="8"/>
      <c r="M57" s="8"/>
      <c r="N57" s="8"/>
      <c r="O57" s="8"/>
      <c r="P57" s="8"/>
      <c r="Q57" s="8"/>
      <c r="R57" s="8"/>
      <c r="S57" s="8"/>
      <c r="T57" s="8"/>
      <c r="U57" s="8"/>
      <c r="V57" s="8"/>
      <c r="W57" s="8"/>
      <c r="X57" s="8"/>
      <c r="Y57" s="8"/>
      <c r="Z57" s="8"/>
      <c r="AA57" s="8"/>
      <c r="AB57" s="8"/>
      <c r="AC57" s="8"/>
      <c r="AD57" s="8"/>
      <c r="AE57" s="8"/>
    </row>
    <row r="58" spans="2:31" customFormat="1" ht="25.5" customHeight="1" x14ac:dyDescent="0.25">
      <c r="B58" s="50"/>
      <c r="C58" s="65"/>
      <c r="D58" s="65"/>
      <c r="E58" s="65"/>
      <c r="F58" s="66"/>
      <c r="G58" s="67"/>
      <c r="H58" s="67"/>
      <c r="I58" s="67"/>
      <c r="J58" s="67"/>
      <c r="K58" s="8"/>
      <c r="L58" s="8"/>
      <c r="M58" s="8"/>
      <c r="N58" s="8"/>
      <c r="O58" s="8"/>
      <c r="P58" s="8"/>
      <c r="Q58" s="8"/>
      <c r="R58" s="8"/>
      <c r="S58" s="8"/>
      <c r="T58" s="8"/>
      <c r="U58" s="8"/>
      <c r="V58" s="8"/>
      <c r="W58" s="8"/>
      <c r="X58" s="8"/>
      <c r="Y58" s="8"/>
      <c r="Z58" s="8"/>
      <c r="AA58" s="8"/>
      <c r="AB58" s="8"/>
      <c r="AC58" s="8"/>
      <c r="AD58" s="8"/>
      <c r="AE58" s="8"/>
    </row>
    <row r="59" spans="2:31" ht="27" thickBot="1" x14ac:dyDescent="0.3">
      <c r="B59" s="7" t="s">
        <v>43</v>
      </c>
      <c r="C59" s="7"/>
      <c r="D59" s="6"/>
      <c r="E59" s="6"/>
      <c r="F59" s="6"/>
      <c r="G59" s="492">
        <f>G56+G57</f>
        <v>771090953.20901012</v>
      </c>
      <c r="H59" s="492"/>
      <c r="I59" s="492"/>
      <c r="J59" s="492"/>
    </row>
    <row r="60" spans="2:31" customFormat="1" ht="18.75" x14ac:dyDescent="0.25">
      <c r="B60" s="98" t="s">
        <v>44</v>
      </c>
      <c r="C60" s="98"/>
      <c r="D60" s="98"/>
      <c r="E60" s="98"/>
      <c r="F60" s="98"/>
      <c r="G60" s="473">
        <f>G59</f>
        <v>771090953.20901012</v>
      </c>
      <c r="H60" s="473"/>
      <c r="I60" s="473"/>
      <c r="J60" s="473"/>
      <c r="K60" s="8"/>
      <c r="L60" s="8"/>
      <c r="M60" s="8"/>
      <c r="N60" s="8"/>
      <c r="O60" s="8"/>
      <c r="P60" s="8"/>
      <c r="Q60" s="8"/>
      <c r="R60" s="8"/>
      <c r="S60" s="8"/>
      <c r="T60" s="8"/>
      <c r="U60" s="8"/>
      <c r="V60" s="8"/>
      <c r="W60" s="8"/>
      <c r="X60" s="8"/>
      <c r="Y60" s="8"/>
      <c r="Z60" s="8"/>
      <c r="AA60" s="8"/>
      <c r="AB60" s="8"/>
      <c r="AC60" s="8"/>
      <c r="AD60" s="8"/>
      <c r="AE60" s="8"/>
    </row>
    <row r="61" spans="2:31" x14ac:dyDescent="0.25"/>
    <row r="62" spans="2:31" ht="27" customHeight="1" x14ac:dyDescent="0.25">
      <c r="B62" s="477" t="s">
        <v>45</v>
      </c>
      <c r="C62" s="478"/>
      <c r="D62" s="478"/>
      <c r="E62" s="478"/>
      <c r="F62" s="478"/>
      <c r="G62" s="478"/>
      <c r="H62" s="478"/>
      <c r="I62" s="478"/>
      <c r="J62" s="479"/>
    </row>
    <row r="63" spans="2:31" ht="22.5" x14ac:dyDescent="0.25">
      <c r="B63" s="35" t="s">
        <v>11</v>
      </c>
      <c r="C63" s="35" t="s">
        <v>20</v>
      </c>
      <c r="D63" s="36" t="s">
        <v>21</v>
      </c>
      <c r="E63" s="36" t="s">
        <v>22</v>
      </c>
      <c r="F63" s="36" t="s">
        <v>46</v>
      </c>
      <c r="G63" s="36" t="s">
        <v>24</v>
      </c>
      <c r="H63" s="36"/>
      <c r="I63" s="36"/>
      <c r="J63" s="36" t="s">
        <v>25</v>
      </c>
    </row>
    <row r="64" spans="2:31" ht="36" x14ac:dyDescent="0.25">
      <c r="B64" s="41">
        <v>15</v>
      </c>
      <c r="C64" s="40" t="s">
        <v>107</v>
      </c>
      <c r="D64" s="82">
        <v>1</v>
      </c>
      <c r="E64" s="39" t="s">
        <v>27</v>
      </c>
      <c r="F64" s="64">
        <v>40000000</v>
      </c>
      <c r="G64" s="39" t="s">
        <v>47</v>
      </c>
      <c r="H64" s="39"/>
      <c r="I64" s="39"/>
      <c r="J64" s="49">
        <f>+F64</f>
        <v>40000000</v>
      </c>
    </row>
    <row r="65" spans="2:15" x14ac:dyDescent="0.25">
      <c r="B65" s="50"/>
      <c r="C65" s="24"/>
      <c r="D65" s="18"/>
      <c r="E65" s="18"/>
      <c r="F65" s="51"/>
      <c r="G65" s="18"/>
      <c r="H65" s="18"/>
      <c r="I65" s="18"/>
      <c r="J65" s="52"/>
    </row>
    <row r="66" spans="2:15" ht="27" thickBot="1" x14ac:dyDescent="0.3">
      <c r="B66" s="7" t="s">
        <v>48</v>
      </c>
      <c r="C66" s="7"/>
      <c r="D66" s="6"/>
      <c r="E66" s="6"/>
      <c r="F66" s="6"/>
      <c r="G66" s="492">
        <f>G59+J64</f>
        <v>811090953.20901012</v>
      </c>
      <c r="H66" s="492"/>
      <c r="I66" s="492"/>
      <c r="J66" s="492"/>
      <c r="L66" s="413"/>
    </row>
    <row r="67" spans="2:15" x14ac:dyDescent="0.25"/>
    <row r="68" spans="2:15" ht="27" customHeight="1" x14ac:dyDescent="0.25">
      <c r="B68" s="496" t="s">
        <v>49</v>
      </c>
      <c r="C68" s="496"/>
      <c r="D68" s="496"/>
      <c r="E68" s="496"/>
      <c r="F68" s="496"/>
      <c r="G68" s="496"/>
      <c r="H68" s="496"/>
      <c r="I68" s="496"/>
      <c r="J68" s="496"/>
    </row>
    <row r="69" spans="2:15" ht="24.95" customHeight="1" x14ac:dyDescent="0.25">
      <c r="B69" s="99"/>
      <c r="C69" s="100"/>
      <c r="D69" s="466" t="s">
        <v>50</v>
      </c>
      <c r="E69" s="466"/>
      <c r="F69" s="466" t="s">
        <v>51</v>
      </c>
      <c r="G69" s="466"/>
      <c r="H69" s="466"/>
      <c r="I69" s="466"/>
      <c r="J69" s="466"/>
    </row>
    <row r="70" spans="2:15" ht="32.1" customHeight="1" x14ac:dyDescent="0.25">
      <c r="B70" s="77">
        <v>16</v>
      </c>
      <c r="C70" s="497" t="s">
        <v>52</v>
      </c>
      <c r="D70" s="498"/>
      <c r="E70" s="78" t="s">
        <v>53</v>
      </c>
      <c r="F70" s="499">
        <f>G66*30%</f>
        <v>243327285.96270302</v>
      </c>
      <c r="G70" s="500"/>
      <c r="H70" s="500"/>
      <c r="I70" s="500"/>
      <c r="J70" s="501"/>
    </row>
    <row r="71" spans="2:15" ht="32.1" customHeight="1" x14ac:dyDescent="0.25">
      <c r="B71" s="8"/>
    </row>
    <row r="72" spans="2:15" ht="32.1" customHeight="1" thickBot="1" x14ac:dyDescent="0.3">
      <c r="B72" s="7" t="s">
        <v>54</v>
      </c>
      <c r="C72" s="7"/>
      <c r="D72" s="6"/>
      <c r="E72" s="6"/>
      <c r="F72" s="6"/>
      <c r="G72" s="492">
        <f>F70</f>
        <v>243327285.96270302</v>
      </c>
      <c r="H72" s="492"/>
      <c r="I72" s="492"/>
      <c r="J72" s="492"/>
      <c r="L72" s="298"/>
      <c r="M72" s="298"/>
      <c r="N72" s="298"/>
      <c r="O72" s="298"/>
    </row>
    <row r="73" spans="2:15" ht="32.1" customHeight="1" x14ac:dyDescent="0.25">
      <c r="B73" s="8"/>
    </row>
    <row r="74" spans="2:15" ht="32.1" customHeight="1" thickBot="1" x14ac:dyDescent="0.3">
      <c r="B74" s="7" t="s">
        <v>55</v>
      </c>
      <c r="C74" s="7"/>
      <c r="D74" s="6"/>
      <c r="E74" s="6"/>
      <c r="F74" s="6"/>
      <c r="G74" s="492">
        <f>G66</f>
        <v>811090953.20901012</v>
      </c>
      <c r="H74" s="492"/>
      <c r="I74" s="492"/>
      <c r="J74" s="492"/>
    </row>
    <row r="75" spans="2:15" ht="32.1" customHeight="1" x14ac:dyDescent="0.25">
      <c r="B75" s="8"/>
    </row>
    <row r="76" spans="2:15" hidden="1" x14ac:dyDescent="0.25">
      <c r="B76" s="54"/>
      <c r="C76" s="54"/>
      <c r="D76" s="495"/>
      <c r="E76" s="495"/>
      <c r="F76" s="53"/>
      <c r="G76" s="491"/>
      <c r="H76" s="491"/>
      <c r="I76" s="491"/>
      <c r="J76" s="491"/>
    </row>
    <row r="77" spans="2:15" hidden="1" x14ac:dyDescent="0.25">
      <c r="B77" s="55"/>
      <c r="C77" s="55"/>
      <c r="D77" s="56"/>
      <c r="E77" s="56"/>
      <c r="F77" s="57"/>
    </row>
    <row r="78" spans="2:15" hidden="1" x14ac:dyDescent="0.25">
      <c r="B78" s="47" t="s">
        <v>56</v>
      </c>
      <c r="K78" s="44"/>
    </row>
    <row r="79" spans="2:15" hidden="1" x14ac:dyDescent="0.25">
      <c r="B79" s="20"/>
      <c r="K79" s="44"/>
    </row>
    <row r="80" spans="2:15" hidden="1" x14ac:dyDescent="0.25">
      <c r="B80" s="45"/>
      <c r="C80" s="46"/>
      <c r="D80" s="46"/>
      <c r="E80" s="46"/>
      <c r="F80" s="46"/>
      <c r="G80" s="46"/>
      <c r="K80" s="44"/>
    </row>
    <row r="81" spans="2:11" hidden="1" x14ac:dyDescent="0.25">
      <c r="B81" s="47" t="s">
        <v>57</v>
      </c>
      <c r="K81" s="44"/>
    </row>
    <row r="82" spans="2:11" hidden="1" x14ac:dyDescent="0.25">
      <c r="B82" s="47"/>
      <c r="K82" s="44"/>
    </row>
    <row r="83" spans="2:11" hidden="1" x14ac:dyDescent="0.25">
      <c r="B83" s="45"/>
      <c r="C83" s="46"/>
      <c r="D83" s="46"/>
      <c r="E83" s="46"/>
      <c r="F83" s="46"/>
      <c r="G83" s="46"/>
      <c r="K83" s="44"/>
    </row>
    <row r="84" spans="2:11" hidden="1" x14ac:dyDescent="0.25">
      <c r="B84" s="47" t="s">
        <v>58</v>
      </c>
      <c r="K84" s="44"/>
    </row>
    <row r="85" spans="2:11" hidden="1" x14ac:dyDescent="0.25">
      <c r="B85" s="47"/>
      <c r="K85" s="44"/>
    </row>
    <row r="86" spans="2:11" hidden="1" x14ac:dyDescent="0.25">
      <c r="B86" s="45"/>
      <c r="C86" s="46"/>
      <c r="D86" s="46"/>
      <c r="E86" s="46"/>
      <c r="F86" s="46"/>
      <c r="G86" s="46"/>
      <c r="K86" s="44"/>
    </row>
    <row r="87" spans="2:11" hidden="1" x14ac:dyDescent="0.25">
      <c r="B87" s="47" t="s">
        <v>59</v>
      </c>
      <c r="K87" s="44"/>
    </row>
    <row r="88" spans="2:11" hidden="1" x14ac:dyDescent="0.25">
      <c r="B88" s="47"/>
      <c r="K88" s="44"/>
    </row>
    <row r="89" spans="2:11" hidden="1" x14ac:dyDescent="0.25">
      <c r="B89" s="76"/>
      <c r="C89" s="46"/>
      <c r="D89" s="46"/>
      <c r="E89" s="46"/>
      <c r="F89" s="46"/>
      <c r="G89" s="46"/>
      <c r="K89" s="44"/>
    </row>
    <row r="90" spans="2:11" hidden="1" x14ac:dyDescent="0.25">
      <c r="B90" s="47" t="s">
        <v>60</v>
      </c>
    </row>
    <row r="91" spans="2:11" hidden="1" x14ac:dyDescent="0.25">
      <c r="B91" s="47"/>
    </row>
    <row r="92" spans="2:11" hidden="1" x14ac:dyDescent="0.25">
      <c r="B92" s="76"/>
      <c r="C92" s="46"/>
      <c r="D92" s="46"/>
      <c r="E92" s="46"/>
      <c r="F92" s="46"/>
      <c r="G92" s="46"/>
    </row>
    <row r="93" spans="2:11" hidden="1" x14ac:dyDescent="0.25">
      <c r="B93" s="47" t="s">
        <v>61</v>
      </c>
    </row>
    <row r="94" spans="2:11" hidden="1" x14ac:dyDescent="0.25">
      <c r="B94" s="47"/>
    </row>
    <row r="95" spans="2:11" hidden="1" x14ac:dyDescent="0.25">
      <c r="B95" s="76"/>
      <c r="C95" s="46"/>
      <c r="D95" s="46"/>
      <c r="E95" s="46"/>
      <c r="F95" s="46"/>
      <c r="G95" s="46"/>
    </row>
    <row r="96" spans="2:11" hidden="1" x14ac:dyDescent="0.25">
      <c r="B96" s="47" t="s">
        <v>62</v>
      </c>
    </row>
    <row r="97" spans="2:31" hidden="1" x14ac:dyDescent="0.25">
      <c r="C97" s="491"/>
      <c r="D97" s="491"/>
      <c r="E97" s="491"/>
      <c r="F97" s="491"/>
      <c r="G97" s="491"/>
      <c r="H97" s="491"/>
      <c r="I97" s="491"/>
      <c r="J97" s="491"/>
    </row>
    <row r="105" spans="2:31" customFormat="1" hidden="1" x14ac:dyDescent="0.25">
      <c r="B105" s="19"/>
      <c r="K105" s="8"/>
      <c r="L105" s="8"/>
      <c r="M105" s="8"/>
      <c r="N105" s="8"/>
      <c r="O105" s="8"/>
      <c r="P105" s="8"/>
      <c r="Q105" s="8"/>
      <c r="R105" s="8"/>
      <c r="S105" s="8"/>
      <c r="T105" s="8"/>
      <c r="U105" s="8"/>
      <c r="V105" s="8"/>
      <c r="W105" s="8"/>
      <c r="X105" s="8"/>
      <c r="Y105" s="8"/>
      <c r="Z105" s="8"/>
      <c r="AA105" s="8"/>
      <c r="AB105" s="8"/>
      <c r="AC105" s="8"/>
      <c r="AD105" s="8"/>
      <c r="AE105" s="8"/>
    </row>
    <row r="106" spans="2:31" customFormat="1" hidden="1" x14ac:dyDescent="0.25">
      <c r="B106" s="19"/>
      <c r="K106" s="8"/>
      <c r="L106" s="8"/>
      <c r="M106" s="8"/>
      <c r="N106" s="8"/>
      <c r="O106" s="8"/>
      <c r="P106" s="8"/>
      <c r="Q106" s="8"/>
      <c r="R106" s="8"/>
      <c r="S106" s="8"/>
      <c r="T106" s="8"/>
      <c r="U106" s="8"/>
      <c r="V106" s="8"/>
      <c r="W106" s="8"/>
      <c r="X106" s="8"/>
      <c r="Y106" s="8"/>
      <c r="Z106" s="8"/>
      <c r="AA106" s="8"/>
      <c r="AB106" s="8"/>
      <c r="AC106" s="8"/>
      <c r="AD106" s="8"/>
      <c r="AE106" s="8"/>
    </row>
    <row r="107" spans="2:31" customFormat="1" hidden="1" x14ac:dyDescent="0.25">
      <c r="B107" s="19"/>
      <c r="K107" s="8"/>
      <c r="L107" s="8"/>
      <c r="M107" s="8"/>
      <c r="N107" s="8"/>
      <c r="O107" s="8"/>
      <c r="P107" s="8"/>
      <c r="Q107" s="8"/>
      <c r="R107" s="8"/>
      <c r="S107" s="8"/>
      <c r="T107" s="8"/>
      <c r="U107" s="8"/>
      <c r="V107" s="8"/>
      <c r="W107" s="8"/>
      <c r="X107" s="8"/>
      <c r="Y107" s="8"/>
      <c r="Z107" s="8"/>
      <c r="AA107" s="8"/>
      <c r="AB107" s="8"/>
      <c r="AC107" s="8"/>
      <c r="AD107" s="8"/>
      <c r="AE107" s="8"/>
    </row>
    <row r="108" spans="2:31" customFormat="1" hidden="1" x14ac:dyDescent="0.25">
      <c r="B108" s="19"/>
      <c r="K108" s="8"/>
      <c r="L108" s="8"/>
      <c r="M108" s="8"/>
      <c r="N108" s="8"/>
      <c r="O108" s="8"/>
      <c r="P108" s="8"/>
      <c r="Q108" s="8"/>
      <c r="R108" s="8"/>
      <c r="S108" s="8"/>
      <c r="T108" s="8"/>
      <c r="U108" s="8"/>
      <c r="V108" s="8"/>
      <c r="W108" s="8"/>
      <c r="X108" s="8"/>
      <c r="Y108" s="8"/>
      <c r="Z108" s="8"/>
      <c r="AA108" s="8"/>
      <c r="AB108" s="8"/>
      <c r="AC108" s="8"/>
      <c r="AD108" s="8"/>
      <c r="AE108" s="8"/>
    </row>
    <row r="109" spans="2:31" customFormat="1" hidden="1" x14ac:dyDescent="0.25">
      <c r="B109" s="19"/>
      <c r="K109" s="8"/>
      <c r="L109" s="8"/>
      <c r="M109" s="8"/>
      <c r="N109" s="8"/>
      <c r="O109" s="8"/>
      <c r="P109" s="8"/>
      <c r="Q109" s="8"/>
      <c r="R109" s="8"/>
      <c r="S109" s="8"/>
      <c r="T109" s="8"/>
      <c r="U109" s="8"/>
      <c r="V109" s="8"/>
      <c r="W109" s="8"/>
      <c r="X109" s="8"/>
      <c r="Y109" s="8"/>
      <c r="Z109" s="8"/>
      <c r="AA109" s="8"/>
      <c r="AB109" s="8"/>
      <c r="AC109" s="8"/>
      <c r="AD109" s="8"/>
      <c r="AE109" s="8"/>
    </row>
    <row r="110" spans="2:31" customFormat="1" hidden="1" x14ac:dyDescent="0.25">
      <c r="B110" s="19"/>
      <c r="K110" s="8"/>
      <c r="L110" s="8"/>
      <c r="M110" s="8"/>
      <c r="N110" s="8"/>
      <c r="O110" s="8"/>
      <c r="P110" s="8"/>
      <c r="Q110" s="8"/>
      <c r="R110" s="8"/>
      <c r="S110" s="8"/>
      <c r="T110" s="8"/>
      <c r="U110" s="8"/>
      <c r="V110" s="8"/>
      <c r="W110" s="8"/>
      <c r="X110" s="8"/>
      <c r="Y110" s="8"/>
      <c r="Z110" s="8"/>
      <c r="AA110" s="8"/>
      <c r="AB110" s="8"/>
      <c r="AC110" s="8"/>
      <c r="AD110" s="8"/>
      <c r="AE110" s="8"/>
    </row>
    <row r="111" spans="2:31" customFormat="1" hidden="1" x14ac:dyDescent="0.25">
      <c r="B111" s="19"/>
      <c r="K111" s="8"/>
      <c r="L111" s="8"/>
      <c r="M111" s="8"/>
      <c r="N111" s="8"/>
      <c r="O111" s="8"/>
      <c r="P111" s="8"/>
      <c r="Q111" s="8"/>
      <c r="R111" s="8"/>
      <c r="S111" s="8"/>
      <c r="T111" s="8"/>
      <c r="U111" s="8"/>
      <c r="V111" s="8"/>
      <c r="W111" s="8"/>
      <c r="X111" s="8"/>
      <c r="Y111" s="8"/>
      <c r="Z111" s="8"/>
      <c r="AA111" s="8"/>
      <c r="AB111" s="8"/>
      <c r="AC111" s="8"/>
      <c r="AD111" s="8"/>
      <c r="AE111" s="8"/>
    </row>
    <row r="112" spans="2:31" customFormat="1" hidden="1" x14ac:dyDescent="0.25">
      <c r="B112" s="19"/>
      <c r="K112" s="8"/>
      <c r="L112" s="8"/>
      <c r="M112" s="8"/>
      <c r="N112" s="8"/>
      <c r="O112" s="8"/>
      <c r="P112" s="8"/>
      <c r="Q112" s="8"/>
      <c r="R112" s="8"/>
      <c r="S112" s="8"/>
      <c r="T112" s="8"/>
      <c r="U112" s="8"/>
      <c r="V112" s="8"/>
      <c r="W112" s="8"/>
      <c r="X112" s="8"/>
      <c r="Y112" s="8"/>
      <c r="Z112" s="8"/>
      <c r="AA112" s="8"/>
      <c r="AB112" s="8"/>
      <c r="AC112" s="8"/>
      <c r="AD112" s="8"/>
      <c r="AE112" s="8"/>
    </row>
    <row r="113" spans="2:31" customFormat="1" hidden="1" x14ac:dyDescent="0.25">
      <c r="B113" s="19"/>
      <c r="K113" s="8"/>
      <c r="L113" s="8"/>
      <c r="M113" s="8"/>
      <c r="N113" s="8"/>
      <c r="O113" s="8"/>
      <c r="P113" s="8"/>
      <c r="Q113" s="8"/>
      <c r="R113" s="8"/>
      <c r="S113" s="8"/>
      <c r="T113" s="8"/>
      <c r="U113" s="8"/>
      <c r="V113" s="8"/>
      <c r="W113" s="8"/>
      <c r="X113" s="8"/>
      <c r="Y113" s="8"/>
      <c r="Z113" s="8"/>
      <c r="AA113" s="8"/>
      <c r="AB113" s="8"/>
      <c r="AC113" s="8"/>
      <c r="AD113" s="8"/>
      <c r="AE113" s="8"/>
    </row>
    <row r="114" spans="2:31" customFormat="1" hidden="1" x14ac:dyDescent="0.25">
      <c r="B114" s="19"/>
      <c r="K114" s="8"/>
      <c r="L114" s="8"/>
      <c r="M114" s="8"/>
      <c r="N114" s="8"/>
      <c r="O114" s="8"/>
      <c r="P114" s="8"/>
      <c r="Q114" s="8"/>
      <c r="R114" s="8"/>
      <c r="S114" s="8"/>
      <c r="T114" s="8"/>
      <c r="U114" s="8"/>
      <c r="V114" s="8"/>
      <c r="W114" s="8"/>
      <c r="X114" s="8"/>
      <c r="Y114" s="8"/>
      <c r="Z114" s="8"/>
      <c r="AA114" s="8"/>
      <c r="AB114" s="8"/>
      <c r="AC114" s="8"/>
      <c r="AD114" s="8"/>
      <c r="AE114" s="8"/>
    </row>
    <row r="115" spans="2:31" customFormat="1" hidden="1" x14ac:dyDescent="0.25">
      <c r="B115" s="19"/>
      <c r="K115" s="8"/>
      <c r="L115" s="8"/>
      <c r="M115" s="8"/>
      <c r="N115" s="8"/>
      <c r="O115" s="8"/>
      <c r="P115" s="8"/>
      <c r="Q115" s="8"/>
      <c r="R115" s="8"/>
      <c r="S115" s="8"/>
      <c r="T115" s="8"/>
      <c r="U115" s="8"/>
      <c r="V115" s="8"/>
      <c r="W115" s="8"/>
      <c r="X115" s="8"/>
      <c r="Y115" s="8"/>
      <c r="Z115" s="8"/>
      <c r="AA115" s="8"/>
      <c r="AB115" s="8"/>
      <c r="AC115" s="8"/>
      <c r="AD115" s="8"/>
      <c r="AE115" s="8"/>
    </row>
    <row r="116" spans="2:31" customFormat="1" hidden="1" x14ac:dyDescent="0.25">
      <c r="B116" s="19"/>
      <c r="K116" s="8"/>
      <c r="L116" s="8"/>
      <c r="M116" s="8"/>
      <c r="N116" s="8"/>
      <c r="O116" s="8"/>
      <c r="P116" s="8"/>
      <c r="Q116" s="8"/>
      <c r="R116" s="8"/>
      <c r="S116" s="8"/>
      <c r="T116" s="8"/>
      <c r="U116" s="8"/>
      <c r="V116" s="8"/>
      <c r="W116" s="8"/>
      <c r="X116" s="8"/>
      <c r="Y116" s="8"/>
      <c r="Z116" s="8"/>
      <c r="AA116" s="8"/>
      <c r="AB116" s="8"/>
      <c r="AC116" s="8"/>
      <c r="AD116" s="8"/>
      <c r="AE116" s="8"/>
    </row>
    <row r="117" spans="2:31" customFormat="1" hidden="1" x14ac:dyDescent="0.25">
      <c r="B117" s="19"/>
      <c r="K117" s="8"/>
      <c r="L117" s="8"/>
      <c r="M117" s="8"/>
      <c r="N117" s="8"/>
      <c r="O117" s="8"/>
      <c r="P117" s="8"/>
      <c r="Q117" s="8"/>
      <c r="R117" s="8"/>
      <c r="S117" s="8"/>
      <c r="T117" s="8"/>
      <c r="U117" s="8"/>
      <c r="V117" s="8"/>
      <c r="W117" s="8"/>
      <c r="X117" s="8"/>
      <c r="Y117" s="8"/>
      <c r="Z117" s="8"/>
      <c r="AA117" s="8"/>
      <c r="AB117" s="8"/>
      <c r="AC117" s="8"/>
      <c r="AD117" s="8"/>
      <c r="AE117" s="8"/>
    </row>
    <row r="118" spans="2:31" customFormat="1" hidden="1" x14ac:dyDescent="0.25">
      <c r="B118" s="19"/>
      <c r="K118" s="8"/>
      <c r="L118" s="8"/>
      <c r="M118" s="8"/>
      <c r="N118" s="8"/>
      <c r="O118" s="8"/>
      <c r="P118" s="8"/>
      <c r="Q118" s="8"/>
      <c r="R118" s="8"/>
      <c r="S118" s="8"/>
      <c r="T118" s="8"/>
      <c r="U118" s="8"/>
      <c r="V118" s="8"/>
      <c r="W118" s="8"/>
      <c r="X118" s="8"/>
      <c r="Y118" s="8"/>
      <c r="Z118" s="8"/>
      <c r="AA118" s="8"/>
      <c r="AB118" s="8"/>
      <c r="AC118" s="8"/>
      <c r="AD118" s="8"/>
      <c r="AE118" s="8"/>
    </row>
    <row r="119" spans="2:31" customFormat="1" hidden="1" x14ac:dyDescent="0.25">
      <c r="B119" s="19"/>
      <c r="K119" s="8"/>
      <c r="L119" s="8"/>
      <c r="M119" s="8"/>
      <c r="N119" s="8"/>
      <c r="O119" s="8"/>
      <c r="P119" s="8"/>
      <c r="Q119" s="8"/>
      <c r="R119" s="8"/>
      <c r="S119" s="8"/>
      <c r="T119" s="8"/>
      <c r="U119" s="8"/>
      <c r="V119" s="8"/>
      <c r="W119" s="8"/>
      <c r="X119" s="8"/>
      <c r="Y119" s="8"/>
      <c r="Z119" s="8"/>
      <c r="AA119" s="8"/>
      <c r="AB119" s="8"/>
      <c r="AC119" s="8"/>
      <c r="AD119" s="8"/>
      <c r="AE119" s="8"/>
    </row>
    <row r="120" spans="2:31" customFormat="1" hidden="1" x14ac:dyDescent="0.25">
      <c r="B120" s="19"/>
      <c r="K120" s="8"/>
      <c r="L120" s="8"/>
      <c r="M120" s="8"/>
      <c r="N120" s="8"/>
      <c r="O120" s="8"/>
      <c r="P120" s="8"/>
      <c r="Q120" s="8"/>
      <c r="R120" s="8"/>
      <c r="S120" s="8"/>
      <c r="T120" s="8"/>
      <c r="U120" s="8"/>
      <c r="V120" s="8"/>
      <c r="W120" s="8"/>
      <c r="X120" s="8"/>
      <c r="Y120" s="8"/>
      <c r="Z120" s="8"/>
      <c r="AA120" s="8"/>
      <c r="AB120" s="8"/>
      <c r="AC120" s="8"/>
      <c r="AD120" s="8"/>
      <c r="AE120" s="8"/>
    </row>
    <row r="121" spans="2:31" customFormat="1" hidden="1" x14ac:dyDescent="0.25">
      <c r="B121" s="19"/>
      <c r="K121" s="8"/>
      <c r="L121" s="8"/>
      <c r="M121" s="8"/>
      <c r="N121" s="8"/>
      <c r="O121" s="8"/>
      <c r="P121" s="8"/>
      <c r="Q121" s="8"/>
      <c r="R121" s="8"/>
      <c r="S121" s="8"/>
      <c r="T121" s="8"/>
      <c r="U121" s="8"/>
      <c r="V121" s="8"/>
      <c r="W121" s="8"/>
      <c r="X121" s="8"/>
      <c r="Y121" s="8"/>
      <c r="Z121" s="8"/>
      <c r="AA121" s="8"/>
      <c r="AB121" s="8"/>
      <c r="AC121" s="8"/>
      <c r="AD121" s="8"/>
      <c r="AE121" s="8"/>
    </row>
    <row r="122" spans="2:31" customFormat="1" hidden="1" x14ac:dyDescent="0.25">
      <c r="B122" s="19"/>
      <c r="K122" s="8"/>
      <c r="L122" s="8"/>
      <c r="M122" s="8"/>
      <c r="N122" s="8"/>
      <c r="O122" s="8"/>
      <c r="P122" s="8"/>
      <c r="Q122" s="8"/>
      <c r="R122" s="8"/>
      <c r="S122" s="8"/>
      <c r="T122" s="8"/>
      <c r="U122" s="8"/>
      <c r="V122" s="8"/>
      <c r="W122" s="8"/>
      <c r="X122" s="8"/>
      <c r="Y122" s="8"/>
      <c r="Z122" s="8"/>
      <c r="AA122" s="8"/>
      <c r="AB122" s="8"/>
      <c r="AC122" s="8"/>
      <c r="AD122" s="8"/>
      <c r="AE122" s="8"/>
    </row>
    <row r="123" spans="2:31" customFormat="1" ht="201" customHeight="1" x14ac:dyDescent="0.25">
      <c r="B123" s="493" t="s">
        <v>105</v>
      </c>
      <c r="C123" s="493"/>
      <c r="D123" s="493"/>
      <c r="E123" s="493"/>
      <c r="F123" s="493"/>
      <c r="G123" s="493"/>
      <c r="H123" s="493"/>
      <c r="I123" s="493"/>
      <c r="J123" s="493"/>
      <c r="K123" s="8"/>
      <c r="L123" s="8"/>
      <c r="M123" s="8"/>
      <c r="N123" s="8"/>
      <c r="O123" s="8"/>
      <c r="P123" s="8"/>
      <c r="Q123" s="8"/>
      <c r="R123" s="8"/>
      <c r="S123" s="8"/>
      <c r="T123" s="8"/>
      <c r="U123" s="8"/>
      <c r="V123" s="8"/>
      <c r="W123" s="8"/>
      <c r="X123" s="8"/>
      <c r="Y123" s="8"/>
      <c r="Z123" s="8"/>
      <c r="AA123" s="8"/>
      <c r="AB123" s="8"/>
      <c r="AC123" s="8"/>
      <c r="AD123" s="8"/>
      <c r="AE123" s="8"/>
    </row>
    <row r="124" spans="2:31" x14ac:dyDescent="0.25"/>
    <row r="125" spans="2:31" x14ac:dyDescent="0.25"/>
  </sheetData>
  <sheetProtection formatCells="0" formatColumns="0" formatRows="0" insertColumns="0" insertRows="0" insertHyperlinks="0" deleteColumns="0" deleteRows="0"/>
  <mergeCells count="32">
    <mergeCell ref="B52:J52"/>
    <mergeCell ref="B40:J40"/>
    <mergeCell ref="G76:J76"/>
    <mergeCell ref="G59:J59"/>
    <mergeCell ref="B123:J123"/>
    <mergeCell ref="G56:J56"/>
    <mergeCell ref="C97:J97"/>
    <mergeCell ref="B62:J62"/>
    <mergeCell ref="G66:J66"/>
    <mergeCell ref="D76:E76"/>
    <mergeCell ref="G74:J74"/>
    <mergeCell ref="B68:J68"/>
    <mergeCell ref="C70:D70"/>
    <mergeCell ref="F70:J70"/>
    <mergeCell ref="G72:J72"/>
    <mergeCell ref="F69:J69"/>
    <mergeCell ref="D69:E69"/>
    <mergeCell ref="F53:J53"/>
    <mergeCell ref="F54:J54"/>
    <mergeCell ref="G60:J60"/>
    <mergeCell ref="A4:J4"/>
    <mergeCell ref="A8:J8"/>
    <mergeCell ref="A9:J9"/>
    <mergeCell ref="A10:J10"/>
    <mergeCell ref="B11:K11"/>
    <mergeCell ref="B12:J12"/>
    <mergeCell ref="B30:J30"/>
    <mergeCell ref="A5:J5"/>
    <mergeCell ref="A6:J6"/>
    <mergeCell ref="C57:E57"/>
    <mergeCell ref="C54:D54"/>
    <mergeCell ref="G57:J57"/>
  </mergeCells>
  <pageMargins left="0.7" right="0.7" top="0.75" bottom="0.75" header="0.3" footer="0.3"/>
  <pageSetup paperSize="41" scale="3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25E11-35CC-47B1-9F36-C3CC745CDEE2}">
  <dimension ref="B1:G59"/>
  <sheetViews>
    <sheetView topLeftCell="B7" zoomScale="120" zoomScaleNormal="120" workbookViewId="0">
      <selection activeCell="B9" sqref="B9:B12"/>
    </sheetView>
  </sheetViews>
  <sheetFormatPr baseColWidth="10" defaultColWidth="49.28515625" defaultRowHeight="12.75" outlineLevelRow="2" x14ac:dyDescent="0.2"/>
  <cols>
    <col min="1" max="1" width="5.85546875" style="304" customWidth="1"/>
    <col min="2" max="2" width="49.28515625" style="304"/>
    <col min="3" max="3" width="18.28515625" style="304" customWidth="1"/>
    <col min="4" max="4" width="39.140625" style="304" customWidth="1"/>
    <col min="5" max="5" width="26.42578125" style="304" customWidth="1"/>
    <col min="6" max="6" width="15.7109375" style="328" customWidth="1"/>
    <col min="7" max="7" width="18.85546875" style="304" customWidth="1"/>
    <col min="8" max="8" width="20.42578125" style="304" customWidth="1"/>
    <col min="9" max="16384" width="49.28515625" style="304"/>
  </cols>
  <sheetData>
    <row r="1" spans="2:7" ht="13.5" thickBot="1" x14ac:dyDescent="0.25">
      <c r="B1" s="301"/>
      <c r="C1" s="302"/>
      <c r="D1" s="302"/>
      <c r="E1" s="302"/>
      <c r="F1" s="303"/>
    </row>
    <row r="2" spans="2:7" x14ac:dyDescent="0.2">
      <c r="B2" s="505" t="s">
        <v>219</v>
      </c>
      <c r="C2" s="506"/>
      <c r="D2" s="506"/>
      <c r="E2" s="506"/>
      <c r="F2" s="507"/>
    </row>
    <row r="3" spans="2:7" x14ac:dyDescent="0.2">
      <c r="B3" s="305" t="s">
        <v>220</v>
      </c>
      <c r="C3" s="508" t="s">
        <v>221</v>
      </c>
      <c r="D3" s="509"/>
      <c r="E3" s="509"/>
      <c r="F3" s="510"/>
    </row>
    <row r="4" spans="2:7" x14ac:dyDescent="0.2">
      <c r="B4" s="306"/>
      <c r="F4" s="307"/>
    </row>
    <row r="5" spans="2:7" s="308" customFormat="1" x14ac:dyDescent="0.2">
      <c r="B5" s="511" t="s">
        <v>222</v>
      </c>
      <c r="C5" s="512"/>
      <c r="D5" s="512"/>
      <c r="E5" s="512"/>
      <c r="F5" s="513"/>
    </row>
    <row r="6" spans="2:7" x14ac:dyDescent="0.2">
      <c r="B6" s="514" t="s">
        <v>223</v>
      </c>
      <c r="C6" s="515"/>
      <c r="D6" s="515"/>
      <c r="E6" s="515"/>
      <c r="F6" s="516"/>
      <c r="G6" s="309" t="s">
        <v>195</v>
      </c>
    </row>
    <row r="7" spans="2:7" s="315" customFormat="1" x14ac:dyDescent="0.2">
      <c r="B7" s="310" t="s">
        <v>224</v>
      </c>
      <c r="C7" s="311" t="s">
        <v>225</v>
      </c>
      <c r="D7" s="312" t="s">
        <v>226</v>
      </c>
      <c r="E7" s="313" t="s">
        <v>227</v>
      </c>
      <c r="F7" s="314" t="s">
        <v>228</v>
      </c>
      <c r="G7" s="314" t="s">
        <v>228</v>
      </c>
    </row>
    <row r="8" spans="2:7" s="315" customFormat="1" x14ac:dyDescent="0.2">
      <c r="B8" s="502" t="s">
        <v>343</v>
      </c>
      <c r="C8" s="503"/>
      <c r="D8" s="503"/>
      <c r="E8" s="503"/>
      <c r="F8" s="503"/>
      <c r="G8" s="504"/>
    </row>
    <row r="9" spans="2:7" outlineLevel="2" x14ac:dyDescent="0.2">
      <c r="B9" s="316" t="s">
        <v>336</v>
      </c>
      <c r="C9" s="317" t="s">
        <v>202</v>
      </c>
      <c r="D9" s="318" t="s">
        <v>229</v>
      </c>
      <c r="E9" s="317" t="s">
        <v>230</v>
      </c>
      <c r="F9" s="319">
        <v>6400000</v>
      </c>
      <c r="G9" s="319">
        <f>F9*(1+13.2%)</f>
        <v>7244800.0000000009</v>
      </c>
    </row>
    <row r="10" spans="2:7" outlineLevel="2" x14ac:dyDescent="0.2">
      <c r="B10" s="341" t="s">
        <v>352</v>
      </c>
      <c r="C10" s="317" t="s">
        <v>346</v>
      </c>
      <c r="D10" s="317" t="s">
        <v>82</v>
      </c>
      <c r="E10" s="317" t="s">
        <v>230</v>
      </c>
      <c r="F10" s="319">
        <v>4000000</v>
      </c>
      <c r="G10" s="319">
        <f>F10*(1+13.2%)</f>
        <v>4528000.0000000009</v>
      </c>
    </row>
    <row r="11" spans="2:7" outlineLevel="2" x14ac:dyDescent="0.2">
      <c r="B11" s="330" t="s">
        <v>248</v>
      </c>
      <c r="C11" s="317"/>
      <c r="D11" s="317" t="s">
        <v>82</v>
      </c>
      <c r="E11" s="317" t="s">
        <v>230</v>
      </c>
      <c r="F11" s="412">
        <v>11500000</v>
      </c>
      <c r="G11" s="319">
        <f>F11</f>
        <v>11500000</v>
      </c>
    </row>
    <row r="12" spans="2:7" outlineLevel="2" x14ac:dyDescent="0.2">
      <c r="B12" s="316" t="s">
        <v>368</v>
      </c>
      <c r="C12" s="317" t="s">
        <v>231</v>
      </c>
      <c r="D12" s="317" t="s">
        <v>369</v>
      </c>
      <c r="E12" s="317" t="s">
        <v>230</v>
      </c>
      <c r="F12" s="319">
        <v>10000000</v>
      </c>
      <c r="G12" s="319">
        <f>F12*(1+13.2%)</f>
        <v>11320000.000000002</v>
      </c>
    </row>
    <row r="13" spans="2:7" s="315" customFormat="1" outlineLevel="1" x14ac:dyDescent="0.2">
      <c r="B13" s="320"/>
      <c r="C13" s="321"/>
      <c r="D13" s="321"/>
      <c r="E13" s="321" t="s">
        <v>370</v>
      </c>
      <c r="F13" s="322">
        <f>SUBTOTAL(1,F9:F12)</f>
        <v>7975000</v>
      </c>
      <c r="G13" s="331">
        <f>SUBTOTAL(1,G9:G12)</f>
        <v>8648200</v>
      </c>
    </row>
    <row r="14" spans="2:7" s="315" customFormat="1" outlineLevel="1" x14ac:dyDescent="0.2">
      <c r="B14" s="502" t="s">
        <v>341</v>
      </c>
      <c r="C14" s="503"/>
      <c r="D14" s="503"/>
      <c r="E14" s="503"/>
      <c r="F14" s="503"/>
      <c r="G14" s="504"/>
    </row>
    <row r="15" spans="2:7" s="315" customFormat="1" outlineLevel="1" x14ac:dyDescent="0.2">
      <c r="B15" s="316" t="s">
        <v>336</v>
      </c>
      <c r="C15" s="317" t="s">
        <v>202</v>
      </c>
      <c r="D15" s="317" t="s">
        <v>342</v>
      </c>
      <c r="E15" s="317" t="s">
        <v>338</v>
      </c>
      <c r="F15" s="319">
        <v>3000000</v>
      </c>
      <c r="G15" s="319">
        <f t="shared" ref="G15:G17" si="0">F15*(1+13.2%)</f>
        <v>3396000.0000000005</v>
      </c>
    </row>
    <row r="16" spans="2:7" s="315" customFormat="1" outlineLevel="1" x14ac:dyDescent="0.2">
      <c r="B16" s="316" t="s">
        <v>243</v>
      </c>
      <c r="C16" s="317" t="s">
        <v>231</v>
      </c>
      <c r="D16" s="317" t="s">
        <v>237</v>
      </c>
      <c r="E16" s="317" t="s">
        <v>338</v>
      </c>
      <c r="F16" s="319">
        <v>4900000</v>
      </c>
      <c r="G16" s="319">
        <f t="shared" si="0"/>
        <v>5546800.0000000009</v>
      </c>
    </row>
    <row r="17" spans="2:7" s="315" customFormat="1" outlineLevel="1" x14ac:dyDescent="0.2">
      <c r="B17" s="316" t="s">
        <v>245</v>
      </c>
      <c r="C17" s="317" t="s">
        <v>232</v>
      </c>
      <c r="D17" s="317" t="s">
        <v>238</v>
      </c>
      <c r="E17" s="317" t="s">
        <v>338</v>
      </c>
      <c r="F17" s="319">
        <v>5889927</v>
      </c>
      <c r="G17" s="319">
        <f t="shared" si="0"/>
        <v>6667397.364000001</v>
      </c>
    </row>
    <row r="18" spans="2:7" s="315" customFormat="1" outlineLevel="1" x14ac:dyDescent="0.2">
      <c r="B18" s="316" t="s">
        <v>248</v>
      </c>
      <c r="C18" s="317">
        <v>2023</v>
      </c>
      <c r="D18" s="317" t="s">
        <v>341</v>
      </c>
      <c r="E18" s="317" t="s">
        <v>338</v>
      </c>
      <c r="F18" s="319">
        <v>4310000</v>
      </c>
      <c r="G18" s="319">
        <f>F18</f>
        <v>4310000</v>
      </c>
    </row>
    <row r="19" spans="2:7" s="315" customFormat="1" outlineLevel="1" x14ac:dyDescent="0.2">
      <c r="B19" s="320"/>
      <c r="C19" s="321"/>
      <c r="D19" s="321"/>
      <c r="E19" s="321" t="s">
        <v>370</v>
      </c>
      <c r="F19" s="322">
        <f>SUBTOTAL(1,F15:F18)</f>
        <v>4524981.75</v>
      </c>
      <c r="G19" s="331">
        <f>SUBTOTAL(1,G15:G18)</f>
        <v>4980049.3410000009</v>
      </c>
    </row>
    <row r="20" spans="2:7" s="315" customFormat="1" outlineLevel="1" x14ac:dyDescent="0.2">
      <c r="B20" s="502" t="s">
        <v>344</v>
      </c>
      <c r="C20" s="503"/>
      <c r="D20" s="503"/>
      <c r="E20" s="503"/>
      <c r="F20" s="503"/>
      <c r="G20" s="504"/>
    </row>
    <row r="21" spans="2:7" ht="12" customHeight="1" outlineLevel="2" x14ac:dyDescent="0.2">
      <c r="B21" s="316" t="s">
        <v>336</v>
      </c>
      <c r="C21" s="317" t="s">
        <v>234</v>
      </c>
      <c r="D21" s="329" t="s">
        <v>353</v>
      </c>
      <c r="E21" s="317" t="s">
        <v>235</v>
      </c>
      <c r="F21" s="323">
        <v>5333333</v>
      </c>
      <c r="G21" s="319">
        <f t="shared" ref="G21:G23" si="1">F21*(1+13.2%)</f>
        <v>6037332.9560000002</v>
      </c>
    </row>
    <row r="22" spans="2:7" outlineLevel="2" x14ac:dyDescent="0.2">
      <c r="B22" s="316" t="s">
        <v>336</v>
      </c>
      <c r="C22" s="317" t="s">
        <v>202</v>
      </c>
      <c r="D22" s="317" t="s">
        <v>236</v>
      </c>
      <c r="E22" s="317" t="s">
        <v>235</v>
      </c>
      <c r="F22" s="319">
        <v>5866667</v>
      </c>
      <c r="G22" s="319">
        <f t="shared" si="1"/>
        <v>6641067.0440000007</v>
      </c>
    </row>
    <row r="23" spans="2:7" outlineLevel="2" x14ac:dyDescent="0.2">
      <c r="B23" s="316" t="s">
        <v>336</v>
      </c>
      <c r="C23" s="317" t="s">
        <v>202</v>
      </c>
      <c r="D23" s="317" t="s">
        <v>340</v>
      </c>
      <c r="E23" s="317" t="s">
        <v>235</v>
      </c>
      <c r="F23" s="319">
        <v>5000000</v>
      </c>
      <c r="G23" s="319">
        <f t="shared" si="1"/>
        <v>5660000.0000000009</v>
      </c>
    </row>
    <row r="24" spans="2:7" outlineLevel="2" x14ac:dyDescent="0.2">
      <c r="B24" s="316" t="s">
        <v>248</v>
      </c>
      <c r="C24" s="317">
        <v>2023</v>
      </c>
      <c r="D24" s="317" t="s">
        <v>354</v>
      </c>
      <c r="E24" s="317" t="s">
        <v>235</v>
      </c>
      <c r="F24" s="319">
        <v>11500000</v>
      </c>
      <c r="G24" s="319">
        <f>F24</f>
        <v>11500000</v>
      </c>
    </row>
    <row r="25" spans="2:7" outlineLevel="2" x14ac:dyDescent="0.2">
      <c r="B25" s="320"/>
      <c r="C25" s="321"/>
      <c r="D25" s="321"/>
      <c r="E25" s="321" t="s">
        <v>370</v>
      </c>
      <c r="F25" s="322">
        <f>SUBTOTAL(1,F21:F24)</f>
        <v>6925000</v>
      </c>
      <c r="G25" s="331">
        <f>SUBTOTAL(1,G21:G24)</f>
        <v>7459600</v>
      </c>
    </row>
    <row r="26" spans="2:7" outlineLevel="2" x14ac:dyDescent="0.2">
      <c r="B26" s="502" t="s">
        <v>83</v>
      </c>
      <c r="C26" s="503"/>
      <c r="D26" s="503"/>
      <c r="E26" s="503"/>
      <c r="F26" s="503"/>
      <c r="G26" s="504"/>
    </row>
    <row r="27" spans="2:7" outlineLevel="2" x14ac:dyDescent="0.2">
      <c r="B27" s="316" t="s">
        <v>233</v>
      </c>
      <c r="C27" s="317" t="s">
        <v>234</v>
      </c>
      <c r="D27" s="317" t="s">
        <v>240</v>
      </c>
      <c r="E27" s="317" t="s">
        <v>239</v>
      </c>
      <c r="F27" s="323">
        <v>2486488</v>
      </c>
      <c r="G27" s="319">
        <f>F27*(1+13.2%)</f>
        <v>2814704.4160000002</v>
      </c>
    </row>
    <row r="28" spans="2:7" outlineLevel="2" x14ac:dyDescent="0.2">
      <c r="B28" s="316" t="s">
        <v>248</v>
      </c>
      <c r="C28" s="317" t="s">
        <v>241</v>
      </c>
      <c r="D28" s="317" t="s">
        <v>242</v>
      </c>
      <c r="E28" s="317" t="s">
        <v>239</v>
      </c>
      <c r="F28" s="323">
        <v>3905243.7590000005</v>
      </c>
      <c r="G28" s="323">
        <f>F28</f>
        <v>3905243.7590000005</v>
      </c>
    </row>
    <row r="29" spans="2:7" outlineLevel="2" x14ac:dyDescent="0.2">
      <c r="B29" s="316" t="s">
        <v>243</v>
      </c>
      <c r="C29" s="317" t="s">
        <v>231</v>
      </c>
      <c r="D29" s="317" t="s">
        <v>244</v>
      </c>
      <c r="E29" s="317" t="s">
        <v>239</v>
      </c>
      <c r="F29" s="323">
        <v>4200000</v>
      </c>
      <c r="G29" s="319">
        <f t="shared" ref="G29:G30" si="2">F29*(1+13.2%)</f>
        <v>4754400.0000000009</v>
      </c>
    </row>
    <row r="30" spans="2:7" outlineLevel="2" x14ac:dyDescent="0.2">
      <c r="B30" s="316" t="s">
        <v>245</v>
      </c>
      <c r="C30" s="317" t="s">
        <v>232</v>
      </c>
      <c r="D30" s="317" t="s">
        <v>246</v>
      </c>
      <c r="E30" s="317" t="s">
        <v>239</v>
      </c>
      <c r="F30" s="323">
        <v>4382285</v>
      </c>
      <c r="G30" s="319">
        <f t="shared" si="2"/>
        <v>4960746.62</v>
      </c>
    </row>
    <row r="31" spans="2:7" outlineLevel="1" x14ac:dyDescent="0.2">
      <c r="B31" s="320"/>
      <c r="C31" s="321"/>
      <c r="D31" s="321"/>
      <c r="E31" s="321" t="s">
        <v>370</v>
      </c>
      <c r="F31" s="314">
        <f>SUBTOTAL(1,F27:F30)</f>
        <v>3743504.1897499999</v>
      </c>
      <c r="G31" s="331">
        <f>SUBTOTAL(1,G27:G30)</f>
        <v>4108773.6987500004</v>
      </c>
    </row>
    <row r="32" spans="2:7" outlineLevel="1" x14ac:dyDescent="0.2">
      <c r="B32" s="502" t="s">
        <v>337</v>
      </c>
      <c r="C32" s="503"/>
      <c r="D32" s="503"/>
      <c r="E32" s="503"/>
      <c r="F32" s="503"/>
      <c r="G32" s="504"/>
    </row>
    <row r="33" spans="2:7" outlineLevel="1" x14ac:dyDescent="0.2">
      <c r="B33" s="316" t="s">
        <v>248</v>
      </c>
      <c r="C33" s="337"/>
      <c r="D33" s="339" t="s">
        <v>337</v>
      </c>
      <c r="E33" s="317" t="s">
        <v>235</v>
      </c>
      <c r="F33" s="343">
        <v>6391000</v>
      </c>
      <c r="G33" s="338">
        <f>F33</f>
        <v>6391000</v>
      </c>
    </row>
    <row r="34" spans="2:7" outlineLevel="1" x14ac:dyDescent="0.2">
      <c r="B34" s="316" t="s">
        <v>336</v>
      </c>
      <c r="C34" s="317" t="s">
        <v>202</v>
      </c>
      <c r="D34" s="316" t="s">
        <v>345</v>
      </c>
      <c r="E34" s="317" t="s">
        <v>235</v>
      </c>
      <c r="F34" s="343">
        <v>5760000</v>
      </c>
      <c r="G34" s="319">
        <f>F34*(1+13.2%)</f>
        <v>6520320.0000000009</v>
      </c>
    </row>
    <row r="35" spans="2:7" outlineLevel="1" x14ac:dyDescent="0.2">
      <c r="B35" s="341" t="s">
        <v>347</v>
      </c>
      <c r="C35" s="317" t="s">
        <v>346</v>
      </c>
      <c r="D35" s="342" t="s">
        <v>348</v>
      </c>
      <c r="E35" s="317" t="s">
        <v>235</v>
      </c>
      <c r="F35" s="323">
        <v>3200000</v>
      </c>
      <c r="G35" s="319">
        <f t="shared" ref="G35:G36" si="3">F35*(1+13.2%)</f>
        <v>3622400.0000000005</v>
      </c>
    </row>
    <row r="36" spans="2:7" outlineLevel="1" x14ac:dyDescent="0.2">
      <c r="B36" s="317" t="s">
        <v>349</v>
      </c>
      <c r="C36" s="317" t="s">
        <v>350</v>
      </c>
      <c r="D36" s="329" t="s">
        <v>351</v>
      </c>
      <c r="E36" s="317" t="s">
        <v>235</v>
      </c>
      <c r="F36" s="323">
        <v>6000000</v>
      </c>
      <c r="G36" s="319">
        <f t="shared" si="3"/>
        <v>6792000.0000000009</v>
      </c>
    </row>
    <row r="37" spans="2:7" outlineLevel="1" x14ac:dyDescent="0.2">
      <c r="B37" s="320"/>
      <c r="C37" s="320"/>
      <c r="D37" s="320"/>
      <c r="E37" s="320"/>
      <c r="F37" s="320"/>
      <c r="G37" s="331">
        <f>SUBTOTAL(1,G33:G36)</f>
        <v>5831430</v>
      </c>
    </row>
    <row r="38" spans="2:7" outlineLevel="1" x14ac:dyDescent="0.2">
      <c r="B38" s="502" t="s">
        <v>339</v>
      </c>
      <c r="C38" s="503"/>
      <c r="D38" s="503"/>
      <c r="E38" s="503"/>
      <c r="F38" s="503"/>
      <c r="G38" s="504"/>
    </row>
    <row r="39" spans="2:7" outlineLevel="1" x14ac:dyDescent="0.2">
      <c r="B39" s="316" t="s">
        <v>336</v>
      </c>
      <c r="C39" s="317" t="s">
        <v>202</v>
      </c>
      <c r="D39" s="317" t="s">
        <v>339</v>
      </c>
      <c r="E39" s="317" t="s">
        <v>338</v>
      </c>
      <c r="F39" s="323">
        <v>4266667</v>
      </c>
      <c r="G39" s="319">
        <f>F39*(1+13.2%)</f>
        <v>4829867.0440000007</v>
      </c>
    </row>
    <row r="40" spans="2:7" outlineLevel="1" x14ac:dyDescent="0.2">
      <c r="B40" s="316" t="s">
        <v>248</v>
      </c>
      <c r="C40" s="337"/>
      <c r="D40" s="317" t="s">
        <v>339</v>
      </c>
      <c r="E40" s="317" t="s">
        <v>338</v>
      </c>
      <c r="F40" s="323">
        <v>3884000</v>
      </c>
      <c r="G40" s="340">
        <f>F40</f>
        <v>3884000</v>
      </c>
    </row>
    <row r="41" spans="2:7" outlineLevel="1" x14ac:dyDescent="0.2">
      <c r="B41" s="341" t="s">
        <v>347</v>
      </c>
      <c r="C41" s="317" t="s">
        <v>346</v>
      </c>
      <c r="D41" s="317" t="s">
        <v>339</v>
      </c>
      <c r="E41" s="317" t="s">
        <v>338</v>
      </c>
      <c r="F41" s="323">
        <v>4000000</v>
      </c>
      <c r="G41" s="319">
        <f>F41*(1+13.2%)</f>
        <v>4528000.0000000009</v>
      </c>
    </row>
    <row r="42" spans="2:7" s="336" customFormat="1" outlineLevel="1" x14ac:dyDescent="0.2">
      <c r="B42" s="334"/>
      <c r="C42" s="335"/>
      <c r="D42" s="335"/>
      <c r="E42" s="335"/>
      <c r="F42" s="322">
        <f>AVERAGE(F39:F41)</f>
        <v>4050222.3333333335</v>
      </c>
      <c r="G42" s="331">
        <f>AVERAGE(G39:G41)</f>
        <v>4413955.6813333333</v>
      </c>
    </row>
    <row r="43" spans="2:7" ht="13.5" thickBot="1" x14ac:dyDescent="0.25">
      <c r="B43" s="324"/>
      <c r="C43" s="325"/>
      <c r="D43" s="325"/>
      <c r="E43" s="325" t="s">
        <v>247</v>
      </c>
      <c r="F43" s="326">
        <f>SUBTOTAL(1,F9:F30)</f>
        <v>5792121.4849375002</v>
      </c>
      <c r="G43" s="326"/>
    </row>
    <row r="44" spans="2:7" x14ac:dyDescent="0.2">
      <c r="F44" s="327"/>
    </row>
    <row r="45" spans="2:7" x14ac:dyDescent="0.2">
      <c r="F45" s="327"/>
    </row>
    <row r="46" spans="2:7" x14ac:dyDescent="0.2">
      <c r="F46" s="327"/>
    </row>
    <row r="47" spans="2:7" x14ac:dyDescent="0.2">
      <c r="F47" s="327"/>
    </row>
    <row r="48" spans="2:7" x14ac:dyDescent="0.2">
      <c r="F48" s="327"/>
    </row>
    <row r="49" spans="6:6" x14ac:dyDescent="0.2">
      <c r="F49" s="327"/>
    </row>
    <row r="50" spans="6:6" x14ac:dyDescent="0.2">
      <c r="F50" s="327"/>
    </row>
    <row r="51" spans="6:6" x14ac:dyDescent="0.2">
      <c r="F51" s="327"/>
    </row>
    <row r="52" spans="6:6" x14ac:dyDescent="0.2">
      <c r="F52" s="327"/>
    </row>
    <row r="53" spans="6:6" x14ac:dyDescent="0.2">
      <c r="F53" s="327"/>
    </row>
    <row r="54" spans="6:6" x14ac:dyDescent="0.2">
      <c r="F54" s="327"/>
    </row>
    <row r="55" spans="6:6" x14ac:dyDescent="0.2">
      <c r="F55" s="327"/>
    </row>
    <row r="56" spans="6:6" x14ac:dyDescent="0.2">
      <c r="F56" s="327"/>
    </row>
    <row r="57" spans="6:6" x14ac:dyDescent="0.2">
      <c r="F57" s="327"/>
    </row>
    <row r="58" spans="6:6" x14ac:dyDescent="0.2">
      <c r="F58" s="327"/>
    </row>
    <row r="59" spans="6:6" x14ac:dyDescent="0.2">
      <c r="F59" s="327"/>
    </row>
  </sheetData>
  <mergeCells count="10">
    <mergeCell ref="B20:G20"/>
    <mergeCell ref="B26:G26"/>
    <mergeCell ref="B32:G32"/>
    <mergeCell ref="B38:G38"/>
    <mergeCell ref="B2:F2"/>
    <mergeCell ref="C3:F3"/>
    <mergeCell ref="B5:F5"/>
    <mergeCell ref="B6:F6"/>
    <mergeCell ref="B8:G8"/>
    <mergeCell ref="B14:G1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7FBF4-796B-4ED6-8108-E9926CB98149}">
  <dimension ref="A1:AV145"/>
  <sheetViews>
    <sheetView zoomScale="110" zoomScaleNormal="110" workbookViewId="0">
      <selection activeCell="D5" sqref="D5"/>
    </sheetView>
  </sheetViews>
  <sheetFormatPr baseColWidth="10" defaultColWidth="11.5703125" defaultRowHeight="12" x14ac:dyDescent="0.2"/>
  <cols>
    <col min="1" max="1" width="17" style="418" customWidth="1"/>
    <col min="2" max="2" width="11.28515625" style="421" customWidth="1"/>
    <col min="3" max="3" width="17.5703125" style="421" customWidth="1"/>
    <col min="4" max="4" width="11.28515625" style="421" customWidth="1"/>
    <col min="5" max="5" width="14.5703125" style="421" customWidth="1"/>
    <col min="6" max="6" width="14.42578125" style="421" customWidth="1"/>
    <col min="7" max="7" width="21.7109375" style="421" customWidth="1"/>
    <col min="8" max="8" width="18.28515625" style="421" customWidth="1"/>
    <col min="9" max="9" width="15.85546875" style="418" bestFit="1" customWidth="1"/>
    <col min="10" max="10" width="14.7109375" style="418" bestFit="1" customWidth="1"/>
    <col min="11" max="11" width="11.42578125" style="418"/>
    <col min="12" max="12" width="14.7109375" style="418" bestFit="1" customWidth="1"/>
    <col min="13" max="13" width="12.28515625" style="418" bestFit="1" customWidth="1"/>
    <col min="14" max="48" width="11.42578125" style="418" customWidth="1"/>
    <col min="49" max="16384" width="11.5703125" style="421"/>
  </cols>
  <sheetData>
    <row r="1" spans="2:13" s="418" customFormat="1" x14ac:dyDescent="0.2"/>
    <row r="2" spans="2:13" ht="24" x14ac:dyDescent="0.2">
      <c r="B2" s="419" t="s">
        <v>11</v>
      </c>
      <c r="C2" s="419" t="s">
        <v>20</v>
      </c>
      <c r="D2" s="420" t="s">
        <v>21</v>
      </c>
      <c r="E2" s="420" t="s">
        <v>22</v>
      </c>
      <c r="F2" s="420" t="s">
        <v>210</v>
      </c>
      <c r="G2" s="420" t="s">
        <v>123</v>
      </c>
      <c r="H2" s="419" t="s">
        <v>124</v>
      </c>
    </row>
    <row r="3" spans="2:13" ht="36" x14ac:dyDescent="0.2">
      <c r="B3" s="422">
        <v>5</v>
      </c>
      <c r="C3" s="414" t="s">
        <v>26</v>
      </c>
      <c r="D3" s="415">
        <v>1</v>
      </c>
      <c r="E3" s="416" t="s">
        <v>27</v>
      </c>
      <c r="F3" s="423">
        <v>9450000</v>
      </c>
      <c r="G3" s="440">
        <v>10000000</v>
      </c>
      <c r="H3" s="424">
        <f>AVERAGE(F3:G3)</f>
        <v>9725000</v>
      </c>
    </row>
    <row r="4" spans="2:13" ht="24" x14ac:dyDescent="0.2">
      <c r="B4" s="422">
        <v>6</v>
      </c>
      <c r="C4" s="414" t="s">
        <v>29</v>
      </c>
      <c r="D4" s="415">
        <v>1</v>
      </c>
      <c r="E4" s="416" t="s">
        <v>27</v>
      </c>
      <c r="F4" s="440">
        <v>3750000</v>
      </c>
      <c r="G4" s="440">
        <v>3750000</v>
      </c>
      <c r="H4" s="424">
        <f t="shared" ref="H4:H6" si="0">AVERAGE(F4:G4)</f>
        <v>3750000</v>
      </c>
      <c r="I4" s="425"/>
    </row>
    <row r="5" spans="2:13" ht="48" x14ac:dyDescent="0.2">
      <c r="B5" s="422">
        <v>7</v>
      </c>
      <c r="C5" s="414" t="s">
        <v>30</v>
      </c>
      <c r="D5" s="415">
        <v>1</v>
      </c>
      <c r="E5" s="416" t="s">
        <v>27</v>
      </c>
      <c r="F5" s="426">
        <f>H14</f>
        <v>20625000</v>
      </c>
      <c r="G5" s="440">
        <v>18000000</v>
      </c>
      <c r="H5" s="424">
        <f t="shared" si="0"/>
        <v>19312500</v>
      </c>
    </row>
    <row r="6" spans="2:13" ht="79.5" customHeight="1" x14ac:dyDescent="0.2">
      <c r="B6" s="422">
        <v>8</v>
      </c>
      <c r="C6" s="414" t="s">
        <v>97</v>
      </c>
      <c r="D6" s="415">
        <v>1</v>
      </c>
      <c r="E6" s="416" t="s">
        <v>27</v>
      </c>
      <c r="F6" s="423">
        <v>8400000</v>
      </c>
      <c r="G6" s="440">
        <v>10200000</v>
      </c>
      <c r="H6" s="427">
        <f t="shared" si="0"/>
        <v>9300000</v>
      </c>
    </row>
    <row r="7" spans="2:13" s="418" customFormat="1" x14ac:dyDescent="0.2">
      <c r="B7" s="438"/>
      <c r="C7" s="438"/>
      <c r="D7" s="438"/>
      <c r="E7" s="438"/>
      <c r="F7" s="441">
        <f>SUM(F3:F6)</f>
        <v>42225000</v>
      </c>
      <c r="G7" s="442">
        <f>SUM(G3:G6)</f>
        <v>41950000</v>
      </c>
      <c r="H7" s="443">
        <f>SUM(H3:H6)</f>
        <v>42087500</v>
      </c>
    </row>
    <row r="8" spans="2:13" s="418" customFormat="1" x14ac:dyDescent="0.2"/>
    <row r="9" spans="2:13" s="418" customFormat="1" x14ac:dyDescent="0.2"/>
    <row r="10" spans="2:13" s="418" customFormat="1" x14ac:dyDescent="0.2">
      <c r="B10" s="418" t="s">
        <v>356</v>
      </c>
    </row>
    <row r="11" spans="2:13" s="418" customFormat="1" ht="38.25" customHeight="1" x14ac:dyDescent="0.2">
      <c r="C11" s="444"/>
      <c r="D11" s="445" t="s">
        <v>127</v>
      </c>
      <c r="E11" s="428" t="s">
        <v>135</v>
      </c>
      <c r="F11" s="428" t="s">
        <v>136</v>
      </c>
      <c r="G11" s="428" t="s">
        <v>357</v>
      </c>
      <c r="H11" s="428" t="s">
        <v>359</v>
      </c>
      <c r="L11" s="429"/>
      <c r="M11" s="430"/>
    </row>
    <row r="12" spans="2:13" s="418" customFormat="1" ht="36" x14ac:dyDescent="0.2">
      <c r="C12" s="417" t="s">
        <v>26</v>
      </c>
      <c r="D12" s="431">
        <v>1</v>
      </c>
      <c r="E12" s="432">
        <v>9450000</v>
      </c>
      <c r="F12" s="433">
        <v>9450000</v>
      </c>
      <c r="G12" s="434"/>
      <c r="H12" s="434"/>
    </row>
    <row r="13" spans="2:13" s="418" customFormat="1" ht="26.25" customHeight="1" x14ac:dyDescent="0.2">
      <c r="C13" s="417" t="s">
        <v>29</v>
      </c>
      <c r="D13" s="431">
        <v>1</v>
      </c>
      <c r="E13" s="432">
        <v>8950000</v>
      </c>
      <c r="F13" s="433">
        <v>8950000</v>
      </c>
      <c r="G13" s="434"/>
      <c r="H13" s="434"/>
      <c r="I13" s="435">
        <f>F13/60</f>
        <v>149166.66666666666</v>
      </c>
      <c r="J13" s="418" t="s">
        <v>365</v>
      </c>
    </row>
    <row r="14" spans="2:13" s="418" customFormat="1" ht="60" x14ac:dyDescent="0.2">
      <c r="C14" s="417" t="s">
        <v>30</v>
      </c>
      <c r="D14" s="431">
        <v>1</v>
      </c>
      <c r="E14" s="432">
        <v>8250000</v>
      </c>
      <c r="F14" s="433">
        <f>E14</f>
        <v>8250000</v>
      </c>
      <c r="G14" s="436" t="s">
        <v>358</v>
      </c>
      <c r="H14" s="437">
        <f>F14*150/60</f>
        <v>20625000</v>
      </c>
    </row>
    <row r="15" spans="2:13" s="418" customFormat="1" x14ac:dyDescent="0.2">
      <c r="C15" s="417" t="s">
        <v>154</v>
      </c>
      <c r="D15" s="431">
        <v>1</v>
      </c>
      <c r="E15" s="432">
        <v>210000</v>
      </c>
      <c r="F15" s="433">
        <f>E15*40</f>
        <v>8400000</v>
      </c>
      <c r="G15" s="434"/>
      <c r="H15" s="438"/>
    </row>
    <row r="16" spans="2:13" s="418" customFormat="1" x14ac:dyDescent="0.2"/>
    <row r="17" s="418" customFormat="1" x14ac:dyDescent="0.2"/>
    <row r="18" s="418" customFormat="1" x14ac:dyDescent="0.2"/>
    <row r="19" s="418" customFormat="1" x14ac:dyDescent="0.2"/>
    <row r="20" s="418" customFormat="1" x14ac:dyDescent="0.2"/>
    <row r="21" s="418" customFormat="1" x14ac:dyDescent="0.2"/>
    <row r="22" s="418" customFormat="1" x14ac:dyDescent="0.2"/>
    <row r="23" s="418" customFormat="1" x14ac:dyDescent="0.2"/>
    <row r="24" s="418" customFormat="1" x14ac:dyDescent="0.2"/>
    <row r="25" s="418" customFormat="1" x14ac:dyDescent="0.2"/>
    <row r="26" s="418" customFormat="1" x14ac:dyDescent="0.2"/>
    <row r="27" s="418" customFormat="1" x14ac:dyDescent="0.2"/>
    <row r="28" s="418" customFormat="1" x14ac:dyDescent="0.2"/>
    <row r="29" s="418" customFormat="1" x14ac:dyDescent="0.2"/>
    <row r="30" s="418" customFormat="1" x14ac:dyDescent="0.2"/>
    <row r="31" s="418" customFormat="1" x14ac:dyDescent="0.2"/>
    <row r="32" s="418" customFormat="1" x14ac:dyDescent="0.2"/>
    <row r="33" s="418" customFormat="1" x14ac:dyDescent="0.2"/>
    <row r="34" s="418" customFormat="1" x14ac:dyDescent="0.2"/>
    <row r="35" s="418" customFormat="1" x14ac:dyDescent="0.2"/>
    <row r="36" s="418" customFormat="1" x14ac:dyDescent="0.2"/>
    <row r="37" s="418" customFormat="1" x14ac:dyDescent="0.2"/>
    <row r="38" s="418" customFormat="1" x14ac:dyDescent="0.2"/>
    <row r="39" s="418" customFormat="1" x14ac:dyDescent="0.2"/>
    <row r="40" s="418" customFormat="1" x14ac:dyDescent="0.2"/>
    <row r="41" s="418" customFormat="1" x14ac:dyDescent="0.2"/>
    <row r="42" s="418" customFormat="1" x14ac:dyDescent="0.2"/>
    <row r="43" s="421" customFormat="1" x14ac:dyDescent="0.2"/>
    <row r="44" s="421" customFormat="1" x14ac:dyDescent="0.2"/>
    <row r="45" s="421" customFormat="1" x14ac:dyDescent="0.2"/>
    <row r="46" s="421" customFormat="1" x14ac:dyDescent="0.2"/>
    <row r="47" s="421" customFormat="1" x14ac:dyDescent="0.2"/>
    <row r="48" s="421" customFormat="1" x14ac:dyDescent="0.2"/>
    <row r="49" s="421" customFormat="1" x14ac:dyDescent="0.2"/>
    <row r="50" s="421" customFormat="1" x14ac:dyDescent="0.2"/>
    <row r="51" s="421" customFormat="1" x14ac:dyDescent="0.2"/>
    <row r="52" s="421" customFormat="1" x14ac:dyDescent="0.2"/>
    <row r="53" s="421" customFormat="1" x14ac:dyDescent="0.2"/>
    <row r="54" s="421" customFormat="1" x14ac:dyDescent="0.2"/>
    <row r="55" s="421" customFormat="1" x14ac:dyDescent="0.2"/>
    <row r="56" s="421" customFormat="1" x14ac:dyDescent="0.2"/>
    <row r="57" s="421" customFormat="1" x14ac:dyDescent="0.2"/>
    <row r="58" s="421" customFormat="1" x14ac:dyDescent="0.2"/>
    <row r="59" s="421" customFormat="1" x14ac:dyDescent="0.2"/>
    <row r="60" s="421" customFormat="1" x14ac:dyDescent="0.2"/>
    <row r="61" s="421" customFormat="1" x14ac:dyDescent="0.2"/>
    <row r="62" s="421" customFormat="1" x14ac:dyDescent="0.2"/>
    <row r="63" s="421" customFormat="1" x14ac:dyDescent="0.2"/>
    <row r="64" s="421" customFormat="1" x14ac:dyDescent="0.2"/>
    <row r="65" s="421" customFormat="1" x14ac:dyDescent="0.2"/>
    <row r="66" s="421" customFormat="1" x14ac:dyDescent="0.2"/>
    <row r="67" s="421" customFormat="1" x14ac:dyDescent="0.2"/>
    <row r="68" s="421" customFormat="1" x14ac:dyDescent="0.2"/>
    <row r="69" s="421" customFormat="1" x14ac:dyDescent="0.2"/>
    <row r="70" s="421" customFormat="1" x14ac:dyDescent="0.2"/>
    <row r="71" s="421" customFormat="1" x14ac:dyDescent="0.2"/>
    <row r="72" s="421" customFormat="1" x14ac:dyDescent="0.2"/>
    <row r="73" s="421" customFormat="1" x14ac:dyDescent="0.2"/>
    <row r="74" s="421" customFormat="1" x14ac:dyDescent="0.2"/>
    <row r="75" s="421" customFormat="1" x14ac:dyDescent="0.2"/>
    <row r="76" s="421" customFormat="1" x14ac:dyDescent="0.2"/>
    <row r="77" s="421" customFormat="1" x14ac:dyDescent="0.2"/>
    <row r="78" s="421" customFormat="1" x14ac:dyDescent="0.2"/>
    <row r="79" s="421" customFormat="1" x14ac:dyDescent="0.2"/>
    <row r="80" s="421" customFormat="1" x14ac:dyDescent="0.2"/>
    <row r="81" s="421" customFormat="1" x14ac:dyDescent="0.2"/>
    <row r="82" s="421" customFormat="1" x14ac:dyDescent="0.2"/>
    <row r="83" s="421" customFormat="1" x14ac:dyDescent="0.2"/>
    <row r="84" s="421" customFormat="1" x14ac:dyDescent="0.2"/>
    <row r="85" s="421" customFormat="1" x14ac:dyDescent="0.2"/>
    <row r="86" s="421" customFormat="1" x14ac:dyDescent="0.2"/>
    <row r="87" s="421" customFormat="1" x14ac:dyDescent="0.2"/>
    <row r="88" s="421" customFormat="1" x14ac:dyDescent="0.2"/>
    <row r="89" s="421" customFormat="1" x14ac:dyDescent="0.2"/>
    <row r="90" s="421" customFormat="1" x14ac:dyDescent="0.2"/>
    <row r="91" s="421" customFormat="1" x14ac:dyDescent="0.2"/>
    <row r="92" s="421" customFormat="1" x14ac:dyDescent="0.2"/>
    <row r="93" s="421" customFormat="1" x14ac:dyDescent="0.2"/>
    <row r="94" s="421" customFormat="1" x14ac:dyDescent="0.2"/>
    <row r="95" s="421" customFormat="1" x14ac:dyDescent="0.2"/>
    <row r="96" s="421" customFormat="1" x14ac:dyDescent="0.2"/>
    <row r="97" s="421" customFormat="1" x14ac:dyDescent="0.2"/>
    <row r="98" s="421" customFormat="1" x14ac:dyDescent="0.2"/>
    <row r="99" s="421" customFormat="1" x14ac:dyDescent="0.2"/>
    <row r="100" s="421" customFormat="1" x14ac:dyDescent="0.2"/>
    <row r="101" s="421" customFormat="1" x14ac:dyDescent="0.2"/>
    <row r="102" s="421" customFormat="1" x14ac:dyDescent="0.2"/>
    <row r="103" s="421" customFormat="1" x14ac:dyDescent="0.2"/>
    <row r="104" s="421" customFormat="1" x14ac:dyDescent="0.2"/>
    <row r="105" s="421" customFormat="1" x14ac:dyDescent="0.2"/>
    <row r="106" s="421" customFormat="1" x14ac:dyDescent="0.2"/>
    <row r="107" s="421" customFormat="1" x14ac:dyDescent="0.2"/>
    <row r="108" s="421" customFormat="1" x14ac:dyDescent="0.2"/>
    <row r="109" s="421" customFormat="1" x14ac:dyDescent="0.2"/>
    <row r="110" s="421" customFormat="1" x14ac:dyDescent="0.2"/>
    <row r="111" s="421" customFormat="1" x14ac:dyDescent="0.2"/>
    <row r="112" s="421" customFormat="1" x14ac:dyDescent="0.2"/>
    <row r="113" s="421" customFormat="1" x14ac:dyDescent="0.2"/>
    <row r="114" s="421" customFormat="1" x14ac:dyDescent="0.2"/>
    <row r="115" s="421" customFormat="1" x14ac:dyDescent="0.2"/>
    <row r="116" s="421" customFormat="1" x14ac:dyDescent="0.2"/>
    <row r="117" s="421" customFormat="1" x14ac:dyDescent="0.2"/>
    <row r="118" s="421" customFormat="1" x14ac:dyDescent="0.2"/>
    <row r="119" s="421" customFormat="1" x14ac:dyDescent="0.2"/>
    <row r="120" s="421" customFormat="1" x14ac:dyDescent="0.2"/>
    <row r="121" s="421" customFormat="1" x14ac:dyDescent="0.2"/>
    <row r="122" s="421" customFormat="1" x14ac:dyDescent="0.2"/>
    <row r="123" s="421" customFormat="1" x14ac:dyDescent="0.2"/>
    <row r="124" s="421" customFormat="1" x14ac:dyDescent="0.2"/>
    <row r="125" s="421" customFormat="1" x14ac:dyDescent="0.2"/>
    <row r="126" s="421" customFormat="1" x14ac:dyDescent="0.2"/>
    <row r="127" s="421" customFormat="1" x14ac:dyDescent="0.2"/>
    <row r="128" s="421" customFormat="1" x14ac:dyDescent="0.2"/>
    <row r="129" s="421" customFormat="1" x14ac:dyDescent="0.2"/>
    <row r="130" s="421" customFormat="1" x14ac:dyDescent="0.2"/>
    <row r="131" s="421" customFormat="1" x14ac:dyDescent="0.2"/>
    <row r="132" s="421" customFormat="1" x14ac:dyDescent="0.2"/>
    <row r="133" s="421" customFormat="1" x14ac:dyDescent="0.2"/>
    <row r="134" s="421" customFormat="1" x14ac:dyDescent="0.2"/>
    <row r="135" s="421" customFormat="1" x14ac:dyDescent="0.2"/>
    <row r="136" s="421" customFormat="1" x14ac:dyDescent="0.2"/>
    <row r="137" s="421" customFormat="1" x14ac:dyDescent="0.2"/>
    <row r="138" s="421" customFormat="1" x14ac:dyDescent="0.2"/>
    <row r="139" s="421" customFormat="1" x14ac:dyDescent="0.2"/>
    <row r="140" s="421" customFormat="1" x14ac:dyDescent="0.2"/>
    <row r="141" s="421" customFormat="1" x14ac:dyDescent="0.2"/>
    <row r="142" s="421" customFormat="1" x14ac:dyDescent="0.2"/>
    <row r="143" s="421" customFormat="1" x14ac:dyDescent="0.2"/>
    <row r="144" s="421" customFormat="1" x14ac:dyDescent="0.2"/>
    <row r="145" s="421" customFormat="1" x14ac:dyDescent="0.2"/>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8D3C7-609A-43F8-8510-D4A4B719C0AA}">
  <dimension ref="A1:AF260"/>
  <sheetViews>
    <sheetView topLeftCell="C10" workbookViewId="0">
      <selection activeCell="E25" sqref="E25"/>
    </sheetView>
  </sheetViews>
  <sheetFormatPr baseColWidth="10" defaultRowHeight="15" x14ac:dyDescent="0.25"/>
  <cols>
    <col min="1" max="2" width="11.42578125" style="8"/>
    <col min="3" max="3" width="20.5703125" customWidth="1"/>
    <col min="4" max="4" width="24.28515625" customWidth="1"/>
    <col min="6" max="6" width="19.28515625" customWidth="1"/>
    <col min="7" max="7" width="28.42578125" customWidth="1"/>
    <col min="8" max="8" width="22.5703125" customWidth="1"/>
    <col min="9" max="9" width="21.85546875" customWidth="1"/>
    <col min="10" max="26" width="11.42578125" style="8"/>
  </cols>
  <sheetData>
    <row r="1" spans="3:32" s="8" customFormat="1" x14ac:dyDescent="0.25"/>
    <row r="2" spans="3:32" s="8" customFormat="1" x14ac:dyDescent="0.25"/>
    <row r="3" spans="3:32" s="8" customFormat="1" x14ac:dyDescent="0.25"/>
    <row r="4" spans="3:32" s="8" customFormat="1" x14ac:dyDescent="0.25"/>
    <row r="5" spans="3:32" x14ac:dyDescent="0.25">
      <c r="C5" s="517" t="s">
        <v>38</v>
      </c>
      <c r="D5" s="518"/>
      <c r="E5" s="518"/>
      <c r="F5" s="518"/>
      <c r="G5" s="518"/>
      <c r="H5" s="518"/>
      <c r="I5" s="244"/>
      <c r="AA5" s="8"/>
      <c r="AB5" s="8"/>
      <c r="AC5" s="8"/>
      <c r="AD5" s="8"/>
      <c r="AE5" s="8"/>
      <c r="AF5" s="8"/>
    </row>
    <row r="6" spans="3:32" ht="45" customHeight="1" x14ac:dyDescent="0.25">
      <c r="C6" s="246" t="s">
        <v>11</v>
      </c>
      <c r="D6" s="522" t="s">
        <v>20</v>
      </c>
      <c r="E6" s="522"/>
      <c r="F6" s="134" t="s">
        <v>194</v>
      </c>
      <c r="G6" s="134" t="s">
        <v>192</v>
      </c>
      <c r="H6" s="134" t="s">
        <v>124</v>
      </c>
      <c r="I6" s="8"/>
      <c r="AA6" s="8"/>
      <c r="AB6" s="8"/>
      <c r="AC6" s="8"/>
      <c r="AD6" s="8"/>
      <c r="AE6" s="8"/>
      <c r="AF6" s="8"/>
    </row>
    <row r="7" spans="3:32" ht="32.25" customHeight="1" x14ac:dyDescent="0.25">
      <c r="C7" s="247">
        <v>13</v>
      </c>
      <c r="D7" s="521" t="s">
        <v>40</v>
      </c>
      <c r="E7" s="521"/>
      <c r="F7" s="248">
        <v>0.11</v>
      </c>
      <c r="G7" s="248">
        <v>0.11</v>
      </c>
      <c r="H7" s="249"/>
      <c r="I7" s="8"/>
      <c r="AA7" s="8"/>
      <c r="AB7" s="8"/>
      <c r="AC7" s="8"/>
      <c r="AD7" s="8"/>
      <c r="AE7" s="8"/>
      <c r="AF7" s="8"/>
    </row>
    <row r="8" spans="3:32" s="8" customFormat="1" x14ac:dyDescent="0.25"/>
    <row r="9" spans="3:32" s="8" customFormat="1" ht="15.75" x14ac:dyDescent="0.25">
      <c r="C9" s="242"/>
      <c r="D9" s="2"/>
      <c r="E9" s="2"/>
      <c r="F9" s="243"/>
      <c r="G9" s="519"/>
      <c r="H9" s="519"/>
      <c r="I9" s="519"/>
    </row>
    <row r="10" spans="3:32" s="8" customFormat="1" x14ac:dyDescent="0.25">
      <c r="D10" s="50" t="s">
        <v>196</v>
      </c>
      <c r="E10" s="252"/>
      <c r="F10" s="245"/>
      <c r="G10" s="520"/>
      <c r="H10" s="520"/>
      <c r="I10" s="520"/>
    </row>
    <row r="11" spans="3:32" s="8" customFormat="1" x14ac:dyDescent="0.25"/>
    <row r="12" spans="3:32" s="8" customFormat="1" x14ac:dyDescent="0.25"/>
    <row r="13" spans="3:32" s="8" customFormat="1" x14ac:dyDescent="0.25"/>
    <row r="14" spans="3:32" s="8" customFormat="1" x14ac:dyDescent="0.25"/>
    <row r="15" spans="3:32" s="8" customFormat="1" x14ac:dyDescent="0.25"/>
    <row r="16" spans="3:32" s="8" customFormat="1" x14ac:dyDescent="0.25"/>
    <row r="17" spans="3:10" x14ac:dyDescent="0.25">
      <c r="C17" s="256" t="s">
        <v>45</v>
      </c>
      <c r="D17" s="257"/>
      <c r="E17" s="257"/>
      <c r="F17" s="257"/>
      <c r="G17" s="257"/>
      <c r="H17" s="257"/>
      <c r="I17" s="257"/>
    </row>
    <row r="18" spans="3:10" ht="22.5" x14ac:dyDescent="0.25">
      <c r="C18" s="85" t="s">
        <v>11</v>
      </c>
      <c r="D18" s="85" t="s">
        <v>20</v>
      </c>
      <c r="E18" s="261" t="s">
        <v>21</v>
      </c>
      <c r="F18" s="261" t="s">
        <v>22</v>
      </c>
      <c r="G18" s="262" t="s">
        <v>193</v>
      </c>
      <c r="H18" s="260" t="s">
        <v>195</v>
      </c>
      <c r="I18" s="261" t="s">
        <v>46</v>
      </c>
      <c r="J18" s="261" t="s">
        <v>204</v>
      </c>
    </row>
    <row r="19" spans="3:10" ht="82.5" customHeight="1" x14ac:dyDescent="0.25">
      <c r="C19" s="263">
        <v>15</v>
      </c>
      <c r="D19" s="264" t="s">
        <v>107</v>
      </c>
      <c r="E19" s="109">
        <v>1</v>
      </c>
      <c r="F19" s="115" t="s">
        <v>27</v>
      </c>
      <c r="G19" s="265">
        <v>35000000</v>
      </c>
      <c r="H19" s="266">
        <v>39620000</v>
      </c>
      <c r="I19" s="267">
        <v>40000000</v>
      </c>
      <c r="J19" s="268">
        <f>+I19</f>
        <v>40000000</v>
      </c>
    </row>
    <row r="20" spans="3:10" s="8" customFormat="1" x14ac:dyDescent="0.25"/>
    <row r="21" spans="3:10" s="8" customFormat="1" x14ac:dyDescent="0.25"/>
    <row r="22" spans="3:10" s="8" customFormat="1" x14ac:dyDescent="0.25"/>
    <row r="23" spans="3:10" s="8" customFormat="1" x14ac:dyDescent="0.25">
      <c r="D23" s="269" t="s">
        <v>205</v>
      </c>
    </row>
    <row r="24" spans="3:10" s="8" customFormat="1" x14ac:dyDescent="0.25"/>
    <row r="25" spans="3:10" s="8" customFormat="1" x14ac:dyDescent="0.25"/>
    <row r="26" spans="3:10" s="8" customFormat="1" x14ac:dyDescent="0.25">
      <c r="H26" s="258">
        <v>35000000</v>
      </c>
      <c r="I26" s="259">
        <v>0.13200000000000001</v>
      </c>
    </row>
    <row r="27" spans="3:10" s="8" customFormat="1" x14ac:dyDescent="0.25"/>
    <row r="28" spans="3:10" s="8" customFormat="1" x14ac:dyDescent="0.25"/>
    <row r="29" spans="3:10" s="8" customFormat="1" x14ac:dyDescent="0.25"/>
    <row r="30" spans="3:10" s="8" customFormat="1" x14ac:dyDescent="0.25"/>
    <row r="31" spans="3:10" s="8" customFormat="1" x14ac:dyDescent="0.25"/>
    <row r="32" spans="3:10" s="8" customFormat="1" x14ac:dyDescent="0.25"/>
    <row r="33" s="8" customFormat="1" x14ac:dyDescent="0.25"/>
    <row r="34" s="8" customFormat="1" x14ac:dyDescent="0.25"/>
    <row r="35" s="8" customFormat="1" x14ac:dyDescent="0.25"/>
    <row r="36" s="8" customFormat="1" x14ac:dyDescent="0.25"/>
    <row r="37" s="8" customFormat="1" x14ac:dyDescent="0.25"/>
    <row r="38" s="8" customFormat="1" x14ac:dyDescent="0.25"/>
    <row r="39" s="8" customFormat="1" x14ac:dyDescent="0.25"/>
    <row r="40" s="8" customFormat="1" x14ac:dyDescent="0.25"/>
    <row r="41" s="8" customFormat="1" x14ac:dyDescent="0.25"/>
    <row r="42" s="8" customFormat="1" x14ac:dyDescent="0.25"/>
    <row r="43" s="8" customFormat="1" x14ac:dyDescent="0.25"/>
    <row r="44" s="8" customFormat="1" x14ac:dyDescent="0.25"/>
    <row r="45" s="8" customFormat="1" x14ac:dyDescent="0.25"/>
    <row r="46" s="8" customFormat="1" x14ac:dyDescent="0.25"/>
    <row r="47" s="8" customFormat="1" x14ac:dyDescent="0.25"/>
    <row r="48" s="8" customFormat="1" x14ac:dyDescent="0.25"/>
    <row r="49" s="8" customFormat="1" x14ac:dyDescent="0.25"/>
    <row r="50" s="8" customFormat="1" x14ac:dyDescent="0.25"/>
    <row r="51" s="8" customFormat="1" x14ac:dyDescent="0.25"/>
    <row r="52" s="8" customFormat="1" x14ac:dyDescent="0.25"/>
    <row r="53" s="8" customFormat="1" x14ac:dyDescent="0.25"/>
    <row r="54" s="8" customFormat="1" x14ac:dyDescent="0.25"/>
    <row r="55" s="8" customFormat="1" x14ac:dyDescent="0.25"/>
    <row r="56" s="8" customFormat="1" x14ac:dyDescent="0.25"/>
    <row r="57" s="8" customFormat="1" x14ac:dyDescent="0.25"/>
    <row r="58" s="8" customFormat="1" x14ac:dyDescent="0.25"/>
    <row r="59" s="8" customFormat="1" x14ac:dyDescent="0.25"/>
    <row r="60" s="8" customFormat="1" x14ac:dyDescent="0.25"/>
    <row r="61" s="8" customFormat="1" x14ac:dyDescent="0.25"/>
    <row r="62" s="8" customFormat="1" x14ac:dyDescent="0.25"/>
    <row r="63" s="8" customFormat="1" x14ac:dyDescent="0.25"/>
    <row r="64" s="8" customFormat="1" x14ac:dyDescent="0.25"/>
    <row r="65" s="8" customFormat="1" x14ac:dyDescent="0.25"/>
    <row r="66" s="8" customFormat="1" x14ac:dyDescent="0.25"/>
    <row r="67" s="8" customFormat="1" x14ac:dyDescent="0.25"/>
    <row r="68" s="8" customFormat="1" x14ac:dyDescent="0.25"/>
    <row r="69" s="8" customFormat="1" x14ac:dyDescent="0.25"/>
    <row r="70" s="8" customFormat="1" x14ac:dyDescent="0.25"/>
    <row r="71" s="8" customFormat="1" x14ac:dyDescent="0.25"/>
    <row r="72" s="8" customFormat="1" x14ac:dyDescent="0.25"/>
    <row r="73" s="8" customFormat="1" x14ac:dyDescent="0.25"/>
    <row r="74" s="8" customFormat="1" x14ac:dyDescent="0.25"/>
    <row r="75" s="8" customFormat="1" x14ac:dyDescent="0.25"/>
    <row r="76" s="8" customFormat="1" x14ac:dyDescent="0.25"/>
    <row r="77" s="8" customFormat="1" x14ac:dyDescent="0.25"/>
    <row r="78" s="8" customFormat="1" x14ac:dyDescent="0.25"/>
    <row r="79" s="8" customFormat="1" x14ac:dyDescent="0.25"/>
    <row r="80" s="8" customFormat="1" x14ac:dyDescent="0.25"/>
    <row r="81" s="8" customFormat="1" x14ac:dyDescent="0.25"/>
    <row r="82" s="8" customFormat="1" x14ac:dyDescent="0.25"/>
    <row r="83" s="8" customFormat="1" x14ac:dyDescent="0.25"/>
    <row r="84" s="8" customFormat="1" x14ac:dyDescent="0.25"/>
    <row r="85" s="8" customFormat="1" x14ac:dyDescent="0.25"/>
    <row r="86" s="8" customFormat="1" x14ac:dyDescent="0.25"/>
    <row r="87" s="8" customFormat="1" x14ac:dyDescent="0.25"/>
    <row r="88" s="8" customFormat="1" x14ac:dyDescent="0.25"/>
    <row r="89" s="8" customFormat="1" x14ac:dyDescent="0.25"/>
    <row r="90" s="8" customFormat="1" x14ac:dyDescent="0.25"/>
    <row r="91" s="8" customFormat="1" x14ac:dyDescent="0.25"/>
    <row r="92" s="8" customFormat="1" x14ac:dyDescent="0.25"/>
    <row r="93" s="8" customFormat="1" x14ac:dyDescent="0.25"/>
    <row r="94" s="8" customFormat="1" x14ac:dyDescent="0.25"/>
    <row r="95" s="8" customFormat="1" x14ac:dyDescent="0.25"/>
    <row r="96" s="8" customFormat="1" x14ac:dyDescent="0.25"/>
    <row r="97" s="8" customFormat="1" x14ac:dyDescent="0.25"/>
    <row r="98" s="8" customFormat="1" x14ac:dyDescent="0.25"/>
    <row r="99" s="8" customFormat="1" x14ac:dyDescent="0.25"/>
    <row r="100" s="8" customFormat="1" x14ac:dyDescent="0.25"/>
    <row r="101" s="8" customFormat="1" x14ac:dyDescent="0.25"/>
    <row r="102" s="8" customFormat="1" x14ac:dyDescent="0.25"/>
    <row r="103" s="8" customFormat="1" x14ac:dyDescent="0.25"/>
    <row r="104" s="8" customFormat="1" x14ac:dyDescent="0.25"/>
    <row r="105" s="8" customFormat="1" x14ac:dyDescent="0.25"/>
    <row r="106" s="8" customFormat="1" x14ac:dyDescent="0.25"/>
    <row r="107" s="8" customFormat="1" x14ac:dyDescent="0.25"/>
    <row r="108" s="8" customFormat="1" x14ac:dyDescent="0.25"/>
    <row r="109" s="8" customFormat="1" x14ac:dyDescent="0.25"/>
    <row r="110" s="8" customFormat="1" x14ac:dyDescent="0.25"/>
    <row r="111" s="8" customFormat="1" x14ac:dyDescent="0.25"/>
    <row r="112" s="8" customFormat="1" x14ac:dyDescent="0.25"/>
    <row r="113" s="8" customFormat="1" x14ac:dyDescent="0.25"/>
    <row r="114" s="8" customFormat="1" x14ac:dyDescent="0.25"/>
    <row r="115" s="8" customFormat="1" x14ac:dyDescent="0.25"/>
    <row r="116" s="8" customFormat="1" x14ac:dyDescent="0.25"/>
    <row r="117" s="8" customFormat="1" x14ac:dyDescent="0.25"/>
    <row r="118" s="8" customFormat="1" x14ac:dyDescent="0.25"/>
    <row r="119" s="8" customFormat="1" x14ac:dyDescent="0.25"/>
    <row r="120" s="8" customFormat="1" x14ac:dyDescent="0.25"/>
    <row r="121" s="8" customFormat="1" x14ac:dyDescent="0.25"/>
    <row r="122" s="8" customFormat="1" x14ac:dyDescent="0.25"/>
    <row r="123" s="8" customFormat="1" x14ac:dyDescent="0.25"/>
    <row r="124" s="8" customFormat="1" x14ac:dyDescent="0.25"/>
    <row r="125" s="8" customFormat="1" x14ac:dyDescent="0.25"/>
    <row r="126" s="8" customFormat="1" x14ac:dyDescent="0.25"/>
    <row r="127" s="8" customFormat="1" x14ac:dyDescent="0.25"/>
    <row r="128" s="8" customFormat="1" x14ac:dyDescent="0.25"/>
    <row r="129" s="8" customFormat="1" x14ac:dyDescent="0.25"/>
    <row r="130" s="8" customFormat="1" x14ac:dyDescent="0.25"/>
    <row r="131" s="8" customFormat="1" x14ac:dyDescent="0.25"/>
    <row r="132" s="8" customFormat="1" x14ac:dyDescent="0.25"/>
    <row r="133" s="8" customFormat="1" x14ac:dyDescent="0.25"/>
    <row r="134" s="8" customFormat="1" x14ac:dyDescent="0.25"/>
    <row r="135" s="8" customFormat="1" x14ac:dyDescent="0.25"/>
    <row r="136" s="8" customFormat="1" x14ac:dyDescent="0.25"/>
    <row r="137" s="8" customFormat="1" x14ac:dyDescent="0.25"/>
    <row r="138" s="8" customFormat="1" x14ac:dyDescent="0.25"/>
    <row r="139" s="8" customFormat="1" x14ac:dyDescent="0.25"/>
    <row r="140" s="8" customFormat="1" x14ac:dyDescent="0.25"/>
    <row r="141" s="8" customFormat="1" x14ac:dyDescent="0.25"/>
    <row r="142" s="8" customFormat="1" x14ac:dyDescent="0.25"/>
    <row r="143" s="8" customFormat="1" x14ac:dyDescent="0.25"/>
    <row r="144" s="8" customFormat="1" x14ac:dyDescent="0.25"/>
    <row r="145" s="8" customFormat="1" x14ac:dyDescent="0.25"/>
    <row r="146" s="8" customFormat="1" x14ac:dyDescent="0.25"/>
    <row r="147" s="8" customFormat="1" x14ac:dyDescent="0.25"/>
    <row r="148" s="8" customFormat="1" x14ac:dyDescent="0.25"/>
    <row r="149" s="8" customFormat="1" x14ac:dyDescent="0.25"/>
    <row r="150" s="8" customFormat="1" x14ac:dyDescent="0.25"/>
    <row r="151" s="8" customFormat="1" x14ac:dyDescent="0.25"/>
    <row r="152" s="8" customFormat="1" x14ac:dyDescent="0.25"/>
    <row r="153" s="8" customFormat="1" x14ac:dyDescent="0.25"/>
    <row r="154" s="8" customFormat="1" x14ac:dyDescent="0.25"/>
    <row r="155" s="8" customFormat="1" x14ac:dyDescent="0.25"/>
    <row r="156" s="8" customFormat="1" x14ac:dyDescent="0.25"/>
    <row r="157" s="8" customFormat="1" x14ac:dyDescent="0.25"/>
    <row r="158" s="8" customFormat="1" x14ac:dyDescent="0.25"/>
    <row r="159" s="8" customFormat="1" x14ac:dyDescent="0.25"/>
    <row r="160" s="8" customFormat="1" x14ac:dyDescent="0.25"/>
    <row r="161" s="8" customFormat="1" x14ac:dyDescent="0.25"/>
    <row r="162" s="8" customFormat="1" x14ac:dyDescent="0.25"/>
    <row r="163" s="8" customFormat="1" x14ac:dyDescent="0.25"/>
    <row r="164" s="8" customFormat="1" x14ac:dyDescent="0.25"/>
    <row r="165" s="8" customFormat="1" x14ac:dyDescent="0.25"/>
    <row r="166" s="8" customFormat="1" x14ac:dyDescent="0.25"/>
    <row r="167" s="8" customFormat="1" x14ac:dyDescent="0.25"/>
    <row r="168" s="8" customFormat="1" x14ac:dyDescent="0.25"/>
    <row r="169" s="8" customFormat="1" x14ac:dyDescent="0.25"/>
    <row r="170" s="8" customFormat="1" x14ac:dyDescent="0.25"/>
    <row r="171" s="8" customFormat="1" x14ac:dyDescent="0.25"/>
    <row r="172" s="8" customFormat="1" x14ac:dyDescent="0.25"/>
    <row r="173" s="8" customFormat="1" x14ac:dyDescent="0.25"/>
    <row r="174" s="8" customFormat="1" x14ac:dyDescent="0.25"/>
    <row r="175" s="8" customFormat="1" x14ac:dyDescent="0.25"/>
    <row r="176" s="8" customFormat="1" x14ac:dyDescent="0.25"/>
    <row r="177" s="8" customFormat="1" x14ac:dyDescent="0.25"/>
    <row r="178" s="8" customFormat="1" x14ac:dyDescent="0.25"/>
    <row r="179" s="8" customFormat="1" x14ac:dyDescent="0.25"/>
    <row r="180" s="8" customFormat="1" x14ac:dyDescent="0.25"/>
    <row r="181" s="8" customFormat="1" x14ac:dyDescent="0.25"/>
    <row r="182" s="8" customFormat="1" x14ac:dyDescent="0.25"/>
    <row r="183" s="8" customFormat="1" x14ac:dyDescent="0.25"/>
    <row r="184" s="8" customFormat="1" x14ac:dyDescent="0.25"/>
    <row r="185" s="8" customFormat="1" x14ac:dyDescent="0.25"/>
    <row r="186" s="8" customFormat="1" x14ac:dyDescent="0.25"/>
    <row r="187" s="8" customFormat="1" x14ac:dyDescent="0.25"/>
    <row r="188" s="8" customFormat="1" x14ac:dyDescent="0.25"/>
    <row r="189" s="8" customFormat="1" x14ac:dyDescent="0.25"/>
    <row r="190" s="8" customFormat="1" x14ac:dyDescent="0.25"/>
    <row r="191" s="8" customFormat="1" x14ac:dyDescent="0.25"/>
    <row r="192" s="8" customFormat="1" x14ac:dyDescent="0.25"/>
    <row r="193" s="8" customFormat="1" x14ac:dyDescent="0.25"/>
    <row r="194" s="8" customFormat="1" x14ac:dyDescent="0.25"/>
    <row r="195" s="8" customFormat="1" x14ac:dyDescent="0.25"/>
    <row r="196" s="8" customFormat="1" x14ac:dyDescent="0.25"/>
    <row r="197" s="8" customFormat="1" x14ac:dyDescent="0.25"/>
    <row r="198" s="8" customFormat="1" x14ac:dyDescent="0.25"/>
    <row r="199" s="8" customFormat="1" x14ac:dyDescent="0.25"/>
    <row r="200" s="8" customFormat="1" x14ac:dyDescent="0.25"/>
    <row r="201" s="8" customFormat="1" x14ac:dyDescent="0.25"/>
    <row r="202" s="8" customFormat="1" x14ac:dyDescent="0.25"/>
    <row r="203" s="8" customFormat="1" x14ac:dyDescent="0.25"/>
    <row r="204" s="8" customFormat="1" x14ac:dyDescent="0.25"/>
    <row r="205" s="8" customFormat="1" x14ac:dyDescent="0.25"/>
    <row r="206" s="8" customFormat="1" x14ac:dyDescent="0.25"/>
    <row r="207" s="8" customFormat="1" x14ac:dyDescent="0.25"/>
    <row r="208" s="8" customFormat="1" x14ac:dyDescent="0.25"/>
    <row r="209" s="8" customFormat="1" x14ac:dyDescent="0.25"/>
    <row r="210" s="8" customFormat="1" x14ac:dyDescent="0.25"/>
    <row r="211" s="8" customFormat="1" x14ac:dyDescent="0.25"/>
    <row r="212" s="8" customFormat="1" x14ac:dyDescent="0.25"/>
    <row r="213" s="8" customFormat="1" x14ac:dyDescent="0.25"/>
    <row r="214" s="8" customFormat="1" x14ac:dyDescent="0.25"/>
    <row r="215" s="8" customFormat="1" x14ac:dyDescent="0.25"/>
    <row r="216" s="8" customFormat="1" x14ac:dyDescent="0.25"/>
    <row r="217" s="8" customFormat="1" x14ac:dyDescent="0.25"/>
    <row r="218" s="8" customFormat="1" x14ac:dyDescent="0.25"/>
    <row r="219" s="8" customFormat="1" x14ac:dyDescent="0.25"/>
    <row r="220" s="8" customFormat="1" x14ac:dyDescent="0.25"/>
    <row r="221" s="8" customFormat="1" x14ac:dyDescent="0.25"/>
    <row r="222" s="8" customFormat="1" x14ac:dyDescent="0.25"/>
    <row r="223" s="8" customFormat="1" x14ac:dyDescent="0.25"/>
    <row r="224" s="8" customFormat="1" x14ac:dyDescent="0.25"/>
    <row r="225" s="8" customFormat="1" x14ac:dyDescent="0.25"/>
    <row r="226" s="8" customFormat="1" x14ac:dyDescent="0.25"/>
    <row r="227" s="8" customFormat="1" x14ac:dyDescent="0.25"/>
    <row r="228" s="8" customFormat="1" x14ac:dyDescent="0.25"/>
    <row r="229" s="8" customFormat="1" x14ac:dyDescent="0.25"/>
    <row r="230" s="8" customFormat="1" x14ac:dyDescent="0.25"/>
    <row r="231" s="8" customFormat="1" x14ac:dyDescent="0.25"/>
    <row r="232" s="8" customFormat="1" x14ac:dyDescent="0.25"/>
    <row r="233" s="8" customFormat="1" x14ac:dyDescent="0.25"/>
    <row r="234" s="8" customFormat="1" x14ac:dyDescent="0.25"/>
    <row r="235" s="8" customFormat="1" x14ac:dyDescent="0.25"/>
    <row r="236" s="8" customFormat="1" x14ac:dyDescent="0.25"/>
    <row r="237" s="8" customFormat="1" x14ac:dyDescent="0.25"/>
    <row r="238" s="8" customFormat="1" x14ac:dyDescent="0.25"/>
    <row r="239" s="8" customFormat="1" x14ac:dyDescent="0.25"/>
    <row r="240" s="8" customFormat="1" x14ac:dyDescent="0.25"/>
    <row r="241" s="8" customFormat="1" x14ac:dyDescent="0.25"/>
    <row r="242" s="8" customFormat="1" x14ac:dyDescent="0.25"/>
    <row r="243" s="8" customFormat="1" x14ac:dyDescent="0.25"/>
    <row r="244" s="8" customFormat="1" x14ac:dyDescent="0.25"/>
    <row r="245" s="8" customFormat="1" x14ac:dyDescent="0.25"/>
    <row r="246" s="8" customFormat="1" x14ac:dyDescent="0.25"/>
    <row r="247" s="8" customFormat="1" x14ac:dyDescent="0.25"/>
    <row r="248" s="8" customFormat="1" x14ac:dyDescent="0.25"/>
    <row r="249" s="8" customFormat="1" x14ac:dyDescent="0.25"/>
    <row r="250" s="8" customFormat="1" x14ac:dyDescent="0.25"/>
    <row r="251" s="8" customFormat="1" x14ac:dyDescent="0.25"/>
    <row r="252" s="8" customFormat="1" x14ac:dyDescent="0.25"/>
    <row r="253" s="8" customFormat="1" x14ac:dyDescent="0.25"/>
    <row r="254" s="8" customFormat="1" x14ac:dyDescent="0.25"/>
    <row r="255" s="8" customFormat="1" x14ac:dyDescent="0.25"/>
    <row r="256" s="8" customFormat="1" x14ac:dyDescent="0.25"/>
    <row r="257" s="8" customFormat="1" x14ac:dyDescent="0.25"/>
    <row r="258" s="8" customFormat="1" x14ac:dyDescent="0.25"/>
    <row r="259" s="8" customFormat="1" x14ac:dyDescent="0.25"/>
    <row r="260" s="8" customFormat="1" x14ac:dyDescent="0.25"/>
  </sheetData>
  <mergeCells count="5">
    <mergeCell ref="C5:H5"/>
    <mergeCell ref="G9:I9"/>
    <mergeCell ref="G10:I10"/>
    <mergeCell ref="D7:E7"/>
    <mergeCell ref="D6:E6"/>
  </mergeCell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0750C-EC7F-47A8-A864-98D52FE4BACF}">
  <dimension ref="A5:I19"/>
  <sheetViews>
    <sheetView topLeftCell="D6" zoomScale="130" zoomScaleNormal="130" workbookViewId="0">
      <selection activeCell="E6" sqref="E6"/>
    </sheetView>
  </sheetViews>
  <sheetFormatPr baseColWidth="10" defaultRowHeight="15" x14ac:dyDescent="0.25"/>
  <cols>
    <col min="1" max="1" width="8" customWidth="1"/>
    <col min="2" max="2" width="23" customWidth="1"/>
    <col min="3" max="3" width="14.5703125" customWidth="1"/>
    <col min="4" max="4" width="51.42578125" customWidth="1"/>
    <col min="5" max="5" width="48.28515625" customWidth="1"/>
    <col min="6" max="6" width="17.28515625" customWidth="1"/>
    <col min="7" max="7" width="16.28515625" customWidth="1"/>
    <col min="8" max="8" width="22.42578125" customWidth="1"/>
    <col min="9" max="9" width="18.85546875" style="345" customWidth="1"/>
  </cols>
  <sheetData>
    <row r="5" spans="1:9" ht="36" customHeight="1" x14ac:dyDescent="0.25">
      <c r="A5" s="35" t="s">
        <v>11</v>
      </c>
      <c r="B5" s="35" t="s">
        <v>111</v>
      </c>
      <c r="C5" s="85" t="s">
        <v>13</v>
      </c>
      <c r="D5" s="85" t="s">
        <v>112</v>
      </c>
      <c r="E5" s="85" t="s">
        <v>113</v>
      </c>
      <c r="F5" s="36" t="s">
        <v>114</v>
      </c>
      <c r="G5" s="36" t="s">
        <v>123</v>
      </c>
      <c r="H5" s="126" t="s">
        <v>124</v>
      </c>
      <c r="I5" s="126" t="s">
        <v>355</v>
      </c>
    </row>
    <row r="6" spans="1:9" ht="180" x14ac:dyDescent="0.25">
      <c r="A6" s="37">
        <v>1</v>
      </c>
      <c r="B6" s="105" t="s">
        <v>82</v>
      </c>
      <c r="C6" s="108">
        <v>1</v>
      </c>
      <c r="D6" s="105" t="s">
        <v>383</v>
      </c>
      <c r="E6" s="105" t="s">
        <v>384</v>
      </c>
      <c r="F6" s="332">
        <f>'historico MEN'!G13</f>
        <v>8648200</v>
      </c>
      <c r="G6" s="104">
        <v>7500000</v>
      </c>
      <c r="H6" s="300">
        <f t="shared" ref="H6:H17" si="0">AVERAGE(F6:G6)</f>
        <v>8074100</v>
      </c>
      <c r="I6" s="344">
        <f>G6-H6</f>
        <v>-574100</v>
      </c>
    </row>
    <row r="7" spans="1:9" ht="87" customHeight="1" x14ac:dyDescent="0.25">
      <c r="A7" s="37">
        <v>2</v>
      </c>
      <c r="B7" s="106" t="s">
        <v>83</v>
      </c>
      <c r="C7" s="108">
        <v>1</v>
      </c>
      <c r="D7" s="106" t="s">
        <v>115</v>
      </c>
      <c r="E7" s="106" t="s">
        <v>214</v>
      </c>
      <c r="F7" s="332">
        <f>'historico MEN'!G31</f>
        <v>4108773.6987500004</v>
      </c>
      <c r="G7" s="104">
        <v>4000000</v>
      </c>
      <c r="H7" s="300">
        <f t="shared" si="0"/>
        <v>4054386.8493750002</v>
      </c>
      <c r="I7" s="344">
        <f t="shared" ref="I7:I17" si="1">G7-H7</f>
        <v>-54386.849375000224</v>
      </c>
    </row>
    <row r="8" spans="1:9" ht="139.5" customHeight="1" x14ac:dyDescent="0.25">
      <c r="A8" s="37">
        <v>3</v>
      </c>
      <c r="B8" s="105" t="s">
        <v>84</v>
      </c>
      <c r="C8" s="108">
        <v>1</v>
      </c>
      <c r="D8" s="105" t="s">
        <v>116</v>
      </c>
      <c r="E8" s="105" t="s">
        <v>215</v>
      </c>
      <c r="F8" s="332">
        <f>'historico MEN'!G37</f>
        <v>5831430</v>
      </c>
      <c r="G8" s="104">
        <v>5500000</v>
      </c>
      <c r="H8" s="127">
        <f t="shared" si="0"/>
        <v>5665715</v>
      </c>
      <c r="I8" s="344">
        <f t="shared" si="1"/>
        <v>-165715</v>
      </c>
    </row>
    <row r="9" spans="1:9" ht="180.75" customHeight="1" x14ac:dyDescent="0.25">
      <c r="A9" s="37">
        <v>4</v>
      </c>
      <c r="B9" s="106" t="s">
        <v>98</v>
      </c>
      <c r="C9" s="108">
        <v>1</v>
      </c>
      <c r="D9" s="106" t="s">
        <v>117</v>
      </c>
      <c r="E9" s="106" t="s">
        <v>384</v>
      </c>
      <c r="F9" s="332">
        <f>'historico MEN'!G25</f>
        <v>7459600</v>
      </c>
      <c r="G9" s="104">
        <v>5500000</v>
      </c>
      <c r="H9" s="300">
        <f t="shared" si="0"/>
        <v>6479800</v>
      </c>
      <c r="I9" s="344">
        <f t="shared" si="1"/>
        <v>-979800</v>
      </c>
    </row>
    <row r="10" spans="1:9" ht="156" x14ac:dyDescent="0.25">
      <c r="A10" s="37">
        <v>5</v>
      </c>
      <c r="B10" s="105" t="s">
        <v>99</v>
      </c>
      <c r="C10" s="108">
        <v>1</v>
      </c>
      <c r="D10" s="105" t="s">
        <v>118</v>
      </c>
      <c r="E10" s="105" t="s">
        <v>384</v>
      </c>
      <c r="F10" s="332">
        <f>'historico MEN'!G25</f>
        <v>7459600</v>
      </c>
      <c r="G10" s="104">
        <v>5500000</v>
      </c>
      <c r="H10" s="300">
        <f t="shared" si="0"/>
        <v>6479800</v>
      </c>
      <c r="I10" s="344">
        <f t="shared" si="1"/>
        <v>-979800</v>
      </c>
    </row>
    <row r="11" spans="1:9" ht="168" x14ac:dyDescent="0.25">
      <c r="A11" s="37">
        <v>6</v>
      </c>
      <c r="B11" s="106" t="s">
        <v>100</v>
      </c>
      <c r="C11" s="108">
        <v>1</v>
      </c>
      <c r="D11" s="106" t="s">
        <v>119</v>
      </c>
      <c r="E11" s="106" t="s">
        <v>384</v>
      </c>
      <c r="F11" s="332">
        <f>'historico MEN'!G25</f>
        <v>7459600</v>
      </c>
      <c r="G11" s="104">
        <v>5500000</v>
      </c>
      <c r="H11" s="300">
        <f t="shared" si="0"/>
        <v>6479800</v>
      </c>
      <c r="I11" s="344">
        <f t="shared" si="1"/>
        <v>-979800</v>
      </c>
    </row>
    <row r="12" spans="1:9" ht="180" x14ac:dyDescent="0.25">
      <c r="A12" s="37">
        <v>7</v>
      </c>
      <c r="B12" s="105" t="s">
        <v>101</v>
      </c>
      <c r="C12" s="108">
        <v>1</v>
      </c>
      <c r="D12" s="105" t="s">
        <v>121</v>
      </c>
      <c r="E12" s="105" t="s">
        <v>384</v>
      </c>
      <c r="F12" s="332">
        <f>'historico MEN'!G25</f>
        <v>7459600</v>
      </c>
      <c r="G12" s="104">
        <v>5500000</v>
      </c>
      <c r="H12" s="300">
        <f t="shared" si="0"/>
        <v>6479800</v>
      </c>
      <c r="I12" s="344">
        <f t="shared" si="1"/>
        <v>-979800</v>
      </c>
    </row>
    <row r="13" spans="1:9" ht="183.75" customHeight="1" x14ac:dyDescent="0.25">
      <c r="A13" s="37">
        <v>8</v>
      </c>
      <c r="B13" s="106" t="s">
        <v>102</v>
      </c>
      <c r="C13" s="108">
        <v>1</v>
      </c>
      <c r="D13" s="106" t="s">
        <v>120</v>
      </c>
      <c r="E13" s="106" t="s">
        <v>384</v>
      </c>
      <c r="F13" s="332">
        <f>'historico MEN'!G25</f>
        <v>7459600</v>
      </c>
      <c r="G13" s="104">
        <v>5500000</v>
      </c>
      <c r="H13" s="300">
        <f t="shared" si="0"/>
        <v>6479800</v>
      </c>
      <c r="I13" s="344">
        <f t="shared" si="1"/>
        <v>-979800</v>
      </c>
    </row>
    <row r="14" spans="1:9" ht="147" customHeight="1" x14ac:dyDescent="0.25">
      <c r="A14" s="103">
        <v>9</v>
      </c>
      <c r="B14" s="107" t="s">
        <v>85</v>
      </c>
      <c r="C14" s="123">
        <v>3</v>
      </c>
      <c r="D14" s="105" t="s">
        <v>122</v>
      </c>
      <c r="E14" s="105" t="s">
        <v>125</v>
      </c>
      <c r="F14" s="333">
        <f>'historico MEN'!G19</f>
        <v>4980049.3410000009</v>
      </c>
      <c r="G14" s="104">
        <v>3500000</v>
      </c>
      <c r="H14" s="300">
        <f t="shared" si="0"/>
        <v>4240024.6705000009</v>
      </c>
      <c r="I14" s="344">
        <f t="shared" si="1"/>
        <v>-740024.67050000094</v>
      </c>
    </row>
    <row r="15" spans="1:9" ht="51" customHeight="1" x14ac:dyDescent="0.25">
      <c r="A15" s="113">
        <v>11</v>
      </c>
      <c r="B15" s="124" t="s">
        <v>108</v>
      </c>
      <c r="C15" s="109">
        <v>1</v>
      </c>
      <c r="D15" s="106" t="s">
        <v>217</v>
      </c>
      <c r="E15" s="106" t="s">
        <v>218</v>
      </c>
      <c r="F15" s="332">
        <f>'historico MEN'!G25</f>
        <v>7459600</v>
      </c>
      <c r="G15" s="116">
        <v>6000000</v>
      </c>
      <c r="H15" s="300">
        <f t="shared" si="0"/>
        <v>6729800</v>
      </c>
      <c r="I15" s="344">
        <f t="shared" si="1"/>
        <v>-729800</v>
      </c>
    </row>
    <row r="16" spans="1:9" ht="112.5" customHeight="1" x14ac:dyDescent="0.25">
      <c r="A16" s="113">
        <v>12</v>
      </c>
      <c r="B16" s="124" t="s">
        <v>109</v>
      </c>
      <c r="C16" s="109">
        <v>1</v>
      </c>
      <c r="D16" s="289" t="s">
        <v>208</v>
      </c>
      <c r="E16" s="105" t="s">
        <v>216</v>
      </c>
      <c r="F16" s="84">
        <f>'historico MEN'!G42</f>
        <v>4413955.6813333333</v>
      </c>
      <c r="G16" s="116">
        <v>4000000</v>
      </c>
      <c r="H16" s="278">
        <f t="shared" si="0"/>
        <v>4206977.8406666666</v>
      </c>
      <c r="I16" s="344">
        <f t="shared" si="1"/>
        <v>-206977.84066666663</v>
      </c>
    </row>
    <row r="17" spans="1:9" ht="61.5" customHeight="1" x14ac:dyDescent="0.25">
      <c r="A17" s="113">
        <v>13</v>
      </c>
      <c r="B17" s="124" t="s">
        <v>110</v>
      </c>
      <c r="C17" s="109">
        <v>1</v>
      </c>
      <c r="D17" s="106"/>
      <c r="E17" s="106" t="s">
        <v>207</v>
      </c>
      <c r="F17" s="116">
        <v>17000000</v>
      </c>
      <c r="G17" s="116">
        <v>17000000</v>
      </c>
      <c r="H17" s="278">
        <f t="shared" si="0"/>
        <v>17000000</v>
      </c>
      <c r="I17" s="344">
        <f t="shared" si="1"/>
        <v>0</v>
      </c>
    </row>
    <row r="18" spans="1:9" ht="21" x14ac:dyDescent="0.35">
      <c r="H18" s="290">
        <f>SUM(H6:H17)</f>
        <v>82370004.360541672</v>
      </c>
    </row>
    <row r="19" spans="1:9" x14ac:dyDescent="0.25">
      <c r="H19" t="s">
        <v>209</v>
      </c>
    </row>
  </sheetData>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45B89-FF5A-43AD-865D-A7D67F1B88F9}">
  <dimension ref="A1:AE58"/>
  <sheetViews>
    <sheetView tabSelected="1" topLeftCell="S1" workbookViewId="0">
      <selection activeCell="S12" sqref="S12"/>
    </sheetView>
  </sheetViews>
  <sheetFormatPr baseColWidth="10" defaultColWidth="11.42578125" defaultRowHeight="12.75" x14ac:dyDescent="0.2"/>
  <cols>
    <col min="1" max="1" width="49.140625" style="135" customWidth="1"/>
    <col min="2" max="2" width="10.42578125" style="135" customWidth="1"/>
    <col min="3" max="3" width="11.28515625" style="135" customWidth="1"/>
    <col min="4" max="4" width="10.5703125" style="135" customWidth="1"/>
    <col min="5" max="5" width="18" style="135" customWidth="1"/>
    <col min="6" max="6" width="19.42578125" style="135" customWidth="1"/>
    <col min="7" max="7" width="18" style="135" customWidth="1"/>
    <col min="8" max="8" width="14.7109375" style="135" customWidth="1"/>
    <col min="9" max="9" width="22.42578125" style="135" customWidth="1"/>
    <col min="10" max="10" width="17.42578125" style="135" customWidth="1"/>
    <col min="11" max="11" width="13.85546875" style="135" customWidth="1"/>
    <col min="12" max="12" width="18" style="135" customWidth="1"/>
    <col min="13" max="13" width="16" style="135" customWidth="1"/>
    <col min="14" max="14" width="14.28515625" style="135" customWidth="1"/>
    <col min="15" max="15" width="18.140625" style="135" customWidth="1"/>
    <col min="16" max="16" width="13.7109375" style="135" customWidth="1"/>
    <col min="17" max="17" width="17.140625" style="135" customWidth="1"/>
    <col min="18" max="18" width="17" style="135" customWidth="1"/>
    <col min="19" max="19" width="22.28515625" style="135" customWidth="1"/>
    <col min="20" max="20" width="15.42578125" style="135" customWidth="1"/>
    <col min="21" max="21" width="19.28515625" style="135" customWidth="1"/>
    <col min="22" max="22" width="18.28515625" style="135" customWidth="1"/>
    <col min="23" max="24" width="16" style="135" customWidth="1"/>
    <col min="25" max="25" width="17.42578125" style="135" customWidth="1"/>
    <col min="26" max="26" width="14.28515625" style="135" customWidth="1"/>
    <col min="27" max="27" width="14.85546875" style="135" customWidth="1"/>
    <col min="28" max="28" width="19.28515625" style="135" customWidth="1"/>
    <col min="29" max="30" width="11.42578125" style="135"/>
    <col min="31" max="31" width="13.7109375" style="135" bestFit="1" customWidth="1"/>
    <col min="32" max="16384" width="11.42578125" style="135"/>
  </cols>
  <sheetData>
    <row r="1" spans="1:31" ht="27" customHeight="1" x14ac:dyDescent="0.2">
      <c r="A1" s="529" t="s">
        <v>126</v>
      </c>
      <c r="B1" s="529" t="s">
        <v>127</v>
      </c>
      <c r="C1" s="529" t="s">
        <v>39</v>
      </c>
      <c r="D1" s="530" t="s">
        <v>128</v>
      </c>
      <c r="E1" s="531" t="s">
        <v>391</v>
      </c>
      <c r="F1" s="531"/>
      <c r="G1" s="531"/>
      <c r="H1" s="532" t="s">
        <v>392</v>
      </c>
      <c r="I1" s="532"/>
      <c r="J1" s="532"/>
      <c r="K1" s="535" t="s">
        <v>131</v>
      </c>
      <c r="L1" s="535"/>
      <c r="M1" s="535"/>
      <c r="N1" s="536" t="s">
        <v>132</v>
      </c>
      <c r="O1" s="536"/>
      <c r="P1" s="536"/>
      <c r="Q1" s="537" t="s">
        <v>133</v>
      </c>
      <c r="R1" s="538"/>
      <c r="AD1" s="523" t="s">
        <v>134</v>
      </c>
    </row>
    <row r="2" spans="1:31" ht="29.25" customHeight="1" x14ac:dyDescent="0.2">
      <c r="A2" s="529"/>
      <c r="B2" s="529"/>
      <c r="C2" s="529"/>
      <c r="D2" s="530"/>
      <c r="E2" s="136" t="s">
        <v>135</v>
      </c>
      <c r="F2" s="136" t="s">
        <v>136</v>
      </c>
      <c r="G2" s="136" t="s">
        <v>137</v>
      </c>
      <c r="H2" s="137" t="s">
        <v>135</v>
      </c>
      <c r="I2" s="137" t="s">
        <v>136</v>
      </c>
      <c r="J2" s="137" t="s">
        <v>138</v>
      </c>
      <c r="K2" s="138" t="s">
        <v>135</v>
      </c>
      <c r="L2" s="138" t="s">
        <v>136</v>
      </c>
      <c r="M2" s="138" t="s">
        <v>138</v>
      </c>
      <c r="N2" s="139" t="s">
        <v>135</v>
      </c>
      <c r="O2" s="139" t="s">
        <v>136</v>
      </c>
      <c r="P2" s="139" t="s">
        <v>138</v>
      </c>
      <c r="Q2" s="140" t="s">
        <v>135</v>
      </c>
      <c r="R2" s="140" t="s">
        <v>136</v>
      </c>
      <c r="AD2" s="524"/>
      <c r="AE2" s="140" t="s">
        <v>135</v>
      </c>
    </row>
    <row r="3" spans="1:31" ht="18" customHeight="1" x14ac:dyDescent="0.2">
      <c r="A3" s="141" t="s">
        <v>139</v>
      </c>
      <c r="B3" s="142"/>
      <c r="C3" s="142"/>
      <c r="D3" s="142"/>
      <c r="E3" s="142"/>
      <c r="F3" s="142"/>
      <c r="G3" s="143"/>
      <c r="H3" s="142"/>
      <c r="I3" s="142"/>
      <c r="J3" s="143"/>
      <c r="K3" s="142"/>
      <c r="L3" s="142"/>
      <c r="M3" s="143"/>
      <c r="N3" s="144"/>
      <c r="O3" s="144"/>
      <c r="P3" s="144"/>
      <c r="Q3" s="145"/>
      <c r="R3" s="145"/>
      <c r="Y3" s="146"/>
    </row>
    <row r="4" spans="1:31" ht="18" customHeight="1" x14ac:dyDescent="0.2">
      <c r="A4" s="105" t="s">
        <v>82</v>
      </c>
      <c r="B4" s="148">
        <v>5</v>
      </c>
      <c r="C4" s="149">
        <v>1</v>
      </c>
      <c r="D4" s="150">
        <v>5</v>
      </c>
      <c r="E4" s="151">
        <v>8000000</v>
      </c>
      <c r="F4" s="152">
        <v>50000000</v>
      </c>
      <c r="G4" s="153">
        <v>0</v>
      </c>
      <c r="H4" s="151">
        <v>7000000</v>
      </c>
      <c r="I4" s="132">
        <v>56000000</v>
      </c>
      <c r="J4" s="153">
        <v>0</v>
      </c>
      <c r="K4" s="153">
        <v>3500000</v>
      </c>
      <c r="L4" s="132">
        <f>+$B4*$C4*$D4*K4</f>
        <v>87500000</v>
      </c>
      <c r="M4" s="132">
        <v>0</v>
      </c>
      <c r="N4" s="153">
        <v>3500000</v>
      </c>
      <c r="O4" s="132">
        <f>+$B4*$C4*$D4*N4</f>
        <v>87500000</v>
      </c>
      <c r="P4" s="132">
        <v>0</v>
      </c>
      <c r="Q4" s="132">
        <f>AVERAGE(E4,H4,K4,N4)</f>
        <v>5500000</v>
      </c>
      <c r="R4" s="132">
        <f>+$B4*$C4*$D4*Q4</f>
        <v>137500000</v>
      </c>
      <c r="AD4" s="154" t="e">
        <f>AVERAGE(E4,H4,#REF!,K4,N4)</f>
        <v>#REF!</v>
      </c>
      <c r="AE4" s="154">
        <f>Q4*D4*B4</f>
        <v>137500000</v>
      </c>
    </row>
    <row r="5" spans="1:31" ht="18" customHeight="1" x14ac:dyDescent="0.2">
      <c r="A5" s="106" t="s">
        <v>83</v>
      </c>
      <c r="B5" s="155">
        <v>5</v>
      </c>
      <c r="C5" s="149">
        <v>1</v>
      </c>
      <c r="D5" s="150">
        <v>5</v>
      </c>
      <c r="E5" s="153">
        <v>3900000</v>
      </c>
      <c r="F5" s="152">
        <v>29000000</v>
      </c>
      <c r="G5" s="153">
        <v>0</v>
      </c>
      <c r="H5" s="153">
        <v>2800000</v>
      </c>
      <c r="I5" s="132">
        <v>22400000</v>
      </c>
      <c r="J5" s="132">
        <v>0</v>
      </c>
      <c r="K5" s="153">
        <v>1900000</v>
      </c>
      <c r="L5" s="132">
        <f>+$B5*$C5*$D5*K5</f>
        <v>47500000</v>
      </c>
      <c r="M5" s="132">
        <v>0</v>
      </c>
      <c r="N5" s="153">
        <v>1900000</v>
      </c>
      <c r="O5" s="132">
        <f>+$B5*$C5*$D5*N5</f>
        <v>47500000</v>
      </c>
      <c r="P5" s="132">
        <v>0</v>
      </c>
      <c r="Q5" s="132">
        <f t="shared" ref="Q5" si="0">AVERAGE(E5,H5,K5,N5)</f>
        <v>2625000</v>
      </c>
      <c r="R5" s="132">
        <f>+$B5*$C5*$D5*Q5</f>
        <v>65625000</v>
      </c>
      <c r="AD5" s="154" t="e">
        <f>AVERAGE(E5,H5,#REF!,K5,N5)</f>
        <v>#REF!</v>
      </c>
      <c r="AE5" s="154">
        <f>Q5*D5*B5</f>
        <v>65625000</v>
      </c>
    </row>
    <row r="6" spans="1:31" ht="18" customHeight="1" x14ac:dyDescent="0.2">
      <c r="A6" s="105" t="s">
        <v>84</v>
      </c>
      <c r="B6" s="155">
        <v>3</v>
      </c>
      <c r="C6" s="149">
        <v>1</v>
      </c>
      <c r="D6" s="150">
        <v>5</v>
      </c>
      <c r="E6" s="153"/>
      <c r="F6" s="152"/>
      <c r="G6" s="153"/>
      <c r="H6" s="153"/>
      <c r="I6" s="132"/>
      <c r="J6" s="132"/>
      <c r="K6" s="153"/>
      <c r="L6" s="132"/>
      <c r="M6" s="132"/>
      <c r="N6" s="153"/>
      <c r="O6" s="132"/>
      <c r="P6" s="132"/>
      <c r="Q6" s="132"/>
      <c r="R6" s="132"/>
      <c r="AD6" s="154"/>
      <c r="AE6" s="154"/>
    </row>
    <row r="7" spans="1:31" ht="36.75" customHeight="1" x14ac:dyDescent="0.2">
      <c r="A7" s="106" t="s">
        <v>98</v>
      </c>
      <c r="B7" s="155">
        <v>5</v>
      </c>
      <c r="C7" s="149">
        <v>1</v>
      </c>
      <c r="D7" s="150">
        <v>5</v>
      </c>
      <c r="E7" s="153"/>
      <c r="F7" s="152"/>
      <c r="G7" s="153"/>
      <c r="H7" s="153"/>
      <c r="I7" s="132"/>
      <c r="J7" s="132"/>
      <c r="K7" s="153"/>
      <c r="L7" s="132"/>
      <c r="M7" s="132"/>
      <c r="N7" s="153"/>
      <c r="O7" s="132"/>
      <c r="P7" s="132"/>
      <c r="Q7" s="132"/>
      <c r="R7" s="132"/>
      <c r="AD7" s="154"/>
      <c r="AE7" s="154"/>
    </row>
    <row r="8" spans="1:31" ht="30" customHeight="1" x14ac:dyDescent="0.2">
      <c r="A8" s="105" t="s">
        <v>99</v>
      </c>
      <c r="B8" s="155">
        <v>5</v>
      </c>
      <c r="C8" s="149">
        <v>1</v>
      </c>
      <c r="D8" s="150">
        <v>5</v>
      </c>
      <c r="E8" s="153"/>
      <c r="F8" s="152"/>
      <c r="G8" s="153"/>
      <c r="H8" s="153"/>
      <c r="I8" s="132"/>
      <c r="J8" s="132"/>
      <c r="K8" s="153"/>
      <c r="L8" s="132"/>
      <c r="M8" s="132"/>
      <c r="N8" s="153"/>
      <c r="O8" s="132"/>
      <c r="P8" s="132"/>
      <c r="Q8" s="132"/>
      <c r="R8" s="132"/>
      <c r="AD8" s="154"/>
      <c r="AE8" s="154"/>
    </row>
    <row r="9" spans="1:31" ht="27.75" customHeight="1" x14ac:dyDescent="0.2">
      <c r="A9" s="106" t="s">
        <v>100</v>
      </c>
      <c r="B9" s="155">
        <v>5</v>
      </c>
      <c r="C9" s="149">
        <v>0.5</v>
      </c>
      <c r="D9" s="150">
        <v>5</v>
      </c>
      <c r="E9" s="153"/>
      <c r="F9" s="152"/>
      <c r="G9" s="153"/>
      <c r="H9" s="153"/>
      <c r="I9" s="132"/>
      <c r="J9" s="132"/>
      <c r="K9" s="153"/>
      <c r="L9" s="132"/>
      <c r="M9" s="132"/>
      <c r="N9" s="153"/>
      <c r="O9" s="132"/>
      <c r="P9" s="132"/>
      <c r="Q9" s="132"/>
      <c r="R9" s="132"/>
      <c r="AD9" s="154"/>
      <c r="AE9" s="154"/>
    </row>
    <row r="10" spans="1:31" ht="47.25" customHeight="1" x14ac:dyDescent="0.2">
      <c r="A10" s="105" t="s">
        <v>101</v>
      </c>
      <c r="B10" s="155">
        <v>5</v>
      </c>
      <c r="C10" s="149">
        <v>1</v>
      </c>
      <c r="D10" s="150">
        <v>5</v>
      </c>
      <c r="E10" s="153"/>
      <c r="F10" s="152"/>
      <c r="G10" s="153"/>
      <c r="H10" s="153"/>
      <c r="I10" s="132"/>
      <c r="J10" s="132"/>
      <c r="K10" s="153"/>
      <c r="L10" s="132"/>
      <c r="M10" s="132"/>
      <c r="N10" s="153"/>
      <c r="O10" s="132"/>
      <c r="P10" s="132"/>
      <c r="Q10" s="132"/>
      <c r="R10" s="132"/>
      <c r="AD10" s="154"/>
      <c r="AE10" s="154"/>
    </row>
    <row r="11" spans="1:31" ht="18" customHeight="1" x14ac:dyDescent="0.2">
      <c r="A11" s="106" t="s">
        <v>102</v>
      </c>
      <c r="B11" s="155">
        <v>5</v>
      </c>
      <c r="C11" s="149">
        <v>0.5</v>
      </c>
      <c r="D11" s="150">
        <v>5</v>
      </c>
      <c r="E11" s="153"/>
      <c r="F11" s="152"/>
      <c r="G11" s="153"/>
      <c r="H11" s="153"/>
      <c r="I11" s="132"/>
      <c r="J11" s="132"/>
      <c r="K11" s="153"/>
      <c r="L11" s="132"/>
      <c r="M11" s="132"/>
      <c r="N11" s="153"/>
      <c r="O11" s="132"/>
      <c r="P11" s="132"/>
      <c r="Q11" s="132"/>
      <c r="R11" s="132"/>
      <c r="AD11" s="154"/>
      <c r="AE11" s="154"/>
    </row>
    <row r="12" spans="1:31" ht="18" customHeight="1" x14ac:dyDescent="0.2">
      <c r="A12" s="107" t="s">
        <v>85</v>
      </c>
      <c r="B12" s="155">
        <v>4</v>
      </c>
      <c r="C12" s="149">
        <v>1</v>
      </c>
      <c r="D12" s="150">
        <v>5</v>
      </c>
      <c r="E12" s="153"/>
      <c r="F12" s="152"/>
      <c r="G12" s="153"/>
      <c r="H12" s="153"/>
      <c r="I12" s="132"/>
      <c r="J12" s="132"/>
      <c r="K12" s="153"/>
      <c r="L12" s="132"/>
      <c r="M12" s="132"/>
      <c r="N12" s="153"/>
      <c r="O12" s="132"/>
      <c r="P12" s="132"/>
      <c r="Q12" s="132"/>
      <c r="R12" s="132"/>
      <c r="AD12" s="154"/>
      <c r="AE12" s="154"/>
    </row>
    <row r="13" spans="1:31" ht="18" customHeight="1" x14ac:dyDescent="0.2">
      <c r="A13" s="280" t="s">
        <v>206</v>
      </c>
      <c r="B13" s="155"/>
      <c r="C13" s="149"/>
      <c r="D13" s="150">
        <v>5</v>
      </c>
      <c r="E13" s="153"/>
      <c r="F13" s="152"/>
      <c r="G13" s="153"/>
      <c r="H13" s="153"/>
      <c r="I13" s="132"/>
      <c r="J13" s="132"/>
      <c r="K13" s="153"/>
      <c r="L13" s="132"/>
      <c r="M13" s="132"/>
      <c r="N13" s="153"/>
      <c r="O13" s="132"/>
      <c r="P13" s="132"/>
      <c r="Q13" s="132"/>
      <c r="R13" s="132"/>
      <c r="AD13" s="154"/>
      <c r="AE13" s="154"/>
    </row>
    <row r="14" spans="1:31" ht="18" customHeight="1" x14ac:dyDescent="0.2">
      <c r="A14" s="106" t="s">
        <v>108</v>
      </c>
      <c r="B14" s="155">
        <v>4</v>
      </c>
      <c r="C14" s="149">
        <v>0.5</v>
      </c>
      <c r="D14" s="150">
        <v>5</v>
      </c>
      <c r="E14" s="153"/>
      <c r="F14" s="152"/>
      <c r="G14" s="153"/>
      <c r="H14" s="153"/>
      <c r="I14" s="132"/>
      <c r="J14" s="132"/>
      <c r="K14" s="153"/>
      <c r="L14" s="132"/>
      <c r="M14" s="132"/>
      <c r="N14" s="153"/>
      <c r="O14" s="132"/>
      <c r="P14" s="132"/>
      <c r="Q14" s="132"/>
      <c r="R14" s="132"/>
      <c r="AD14" s="154"/>
      <c r="AE14" s="154"/>
    </row>
    <row r="15" spans="1:31" ht="18" customHeight="1" x14ac:dyDescent="0.2">
      <c r="A15" s="107" t="s">
        <v>109</v>
      </c>
      <c r="B15" s="155">
        <v>5</v>
      </c>
      <c r="C15" s="149">
        <v>0.5</v>
      </c>
      <c r="D15" s="150">
        <v>5</v>
      </c>
      <c r="E15" s="153"/>
      <c r="F15" s="152"/>
      <c r="G15" s="153"/>
      <c r="H15" s="153"/>
      <c r="I15" s="132"/>
      <c r="J15" s="132"/>
      <c r="K15" s="153"/>
      <c r="L15" s="132"/>
      <c r="M15" s="132"/>
      <c r="N15" s="153"/>
      <c r="O15" s="132"/>
      <c r="P15" s="132"/>
      <c r="Q15" s="132"/>
      <c r="R15" s="132"/>
      <c r="AD15" s="154"/>
      <c r="AE15" s="154"/>
    </row>
    <row r="16" spans="1:31" ht="24.75" customHeight="1" x14ac:dyDescent="0.2">
      <c r="A16" s="106" t="s">
        <v>110</v>
      </c>
      <c r="B16" s="155">
        <v>5</v>
      </c>
      <c r="C16" s="149">
        <v>0.5</v>
      </c>
      <c r="D16" s="150">
        <v>5</v>
      </c>
      <c r="E16" s="153"/>
      <c r="F16" s="152"/>
      <c r="G16" s="153"/>
      <c r="H16" s="153"/>
      <c r="I16" s="132"/>
      <c r="J16" s="132"/>
      <c r="K16" s="153"/>
      <c r="L16" s="132"/>
      <c r="M16" s="132"/>
      <c r="N16" s="153"/>
      <c r="O16" s="132"/>
      <c r="P16" s="132"/>
      <c r="Q16" s="132"/>
      <c r="R16" s="132"/>
      <c r="AD16" s="154"/>
      <c r="AE16" s="154"/>
    </row>
    <row r="17" spans="1:31" ht="18" customHeight="1" x14ac:dyDescent="0.2">
      <c r="A17" s="141" t="s">
        <v>144</v>
      </c>
      <c r="B17" s="165"/>
      <c r="C17" s="165"/>
      <c r="D17" s="165"/>
      <c r="E17" s="165"/>
      <c r="F17" s="166">
        <f>SUM(F4:F16)</f>
        <v>79000000</v>
      </c>
      <c r="G17" s="167" t="e">
        <f>+G4+G5+#REF!</f>
        <v>#REF!</v>
      </c>
      <c r="H17" s="165"/>
      <c r="I17" s="166">
        <f>SUM(I4:I16)</f>
        <v>78400000</v>
      </c>
      <c r="J17" s="167" t="e">
        <f>+J4+J5+#REF!</f>
        <v>#REF!</v>
      </c>
      <c r="K17" s="132">
        <v>0</v>
      </c>
      <c r="L17" s="166">
        <f>SUM(L4:L16)</f>
        <v>135000000</v>
      </c>
      <c r="M17" s="167">
        <v>0</v>
      </c>
      <c r="N17" s="132">
        <v>0</v>
      </c>
      <c r="O17" s="166">
        <v>541000000</v>
      </c>
      <c r="P17" s="167">
        <v>0</v>
      </c>
      <c r="Q17" s="167"/>
      <c r="R17" s="167">
        <f>SUM(R4:R16)</f>
        <v>203125000</v>
      </c>
      <c r="Y17" s="146"/>
      <c r="Z17" s="146"/>
      <c r="AE17" s="154">
        <f>SUM(AE4:AE16)</f>
        <v>203125000</v>
      </c>
    </row>
    <row r="18" spans="1:31" ht="18" customHeight="1" x14ac:dyDescent="0.2">
      <c r="A18" s="141" t="s">
        <v>145</v>
      </c>
      <c r="B18" s="142"/>
      <c r="C18" s="142"/>
      <c r="D18" s="142"/>
      <c r="E18" s="142"/>
      <c r="F18" s="168"/>
      <c r="G18" s="143"/>
      <c r="H18" s="142"/>
      <c r="I18" s="142"/>
      <c r="J18" s="143"/>
      <c r="K18" s="142"/>
      <c r="L18" s="142"/>
      <c r="M18" s="143"/>
      <c r="N18" s="142"/>
      <c r="O18" s="142"/>
      <c r="P18" s="143"/>
      <c r="Q18" s="145"/>
      <c r="R18" s="145"/>
      <c r="Y18" s="146"/>
    </row>
    <row r="19" spans="1:31" ht="18" customHeight="1" x14ac:dyDescent="0.2">
      <c r="A19" s="38" t="s">
        <v>26</v>
      </c>
      <c r="B19" s="169">
        <v>1</v>
      </c>
      <c r="C19" s="150" t="s">
        <v>28</v>
      </c>
      <c r="D19" s="150" t="s">
        <v>28</v>
      </c>
      <c r="E19" s="151">
        <v>10455374</v>
      </c>
      <c r="F19" s="152">
        <f t="shared" ref="F19:F24" si="1">+B19*E19</f>
        <v>10455374</v>
      </c>
      <c r="G19" s="132">
        <v>0</v>
      </c>
      <c r="H19" s="151">
        <v>20000000</v>
      </c>
      <c r="I19" s="132">
        <f t="shared" ref="I19:I24" si="2">(H19*B19)</f>
        <v>20000000</v>
      </c>
      <c r="J19" s="132">
        <v>0</v>
      </c>
      <c r="K19" s="170">
        <v>9450000</v>
      </c>
      <c r="L19" s="171">
        <f>K19*B19</f>
        <v>9450000</v>
      </c>
      <c r="M19" s="132">
        <v>0</v>
      </c>
      <c r="N19" s="170">
        <v>20000000</v>
      </c>
      <c r="O19" s="170">
        <v>20000000</v>
      </c>
      <c r="P19" s="132">
        <v>0</v>
      </c>
      <c r="Q19" s="132">
        <f t="shared" ref="Q19:Q24" si="3">AVERAGE(E19,H19,K19,N19)</f>
        <v>14976343.5</v>
      </c>
      <c r="R19" s="132">
        <f>Q19*B19</f>
        <v>14976343.5</v>
      </c>
      <c r="Y19" s="146"/>
      <c r="AD19" s="154" t="e">
        <f>AVERAGE(E19,H19,#REF!,K19,N19)</f>
        <v>#REF!</v>
      </c>
      <c r="AE19" s="154">
        <f>Q19*B19</f>
        <v>14976343.5</v>
      </c>
    </row>
    <row r="20" spans="1:31" ht="18" customHeight="1" x14ac:dyDescent="0.2">
      <c r="A20" s="38" t="s">
        <v>29</v>
      </c>
      <c r="B20" s="169">
        <v>1</v>
      </c>
      <c r="C20" s="150" t="s">
        <v>28</v>
      </c>
      <c r="D20" s="150" t="s">
        <v>28</v>
      </c>
      <c r="E20" s="153">
        <v>5000000</v>
      </c>
      <c r="F20" s="152">
        <f t="shared" si="1"/>
        <v>5000000</v>
      </c>
      <c r="G20" s="132">
        <v>0</v>
      </c>
      <c r="H20" s="153">
        <v>8000000</v>
      </c>
      <c r="I20" s="132">
        <f t="shared" si="2"/>
        <v>8000000</v>
      </c>
      <c r="J20" s="132">
        <v>0</v>
      </c>
      <c r="K20" s="170">
        <v>8950000</v>
      </c>
      <c r="L20" s="171">
        <f>K20*B20</f>
        <v>8950000</v>
      </c>
      <c r="M20" s="132">
        <v>0</v>
      </c>
      <c r="N20" s="170">
        <v>5000000</v>
      </c>
      <c r="O20" s="170">
        <v>5000000</v>
      </c>
      <c r="P20" s="132">
        <v>0</v>
      </c>
      <c r="Q20" s="132">
        <f t="shared" si="3"/>
        <v>6737500</v>
      </c>
      <c r="R20" s="132">
        <f t="shared" ref="R20:R24" si="4">Q20*B20</f>
        <v>6737500</v>
      </c>
      <c r="S20" s="172" t="s">
        <v>146</v>
      </c>
      <c r="T20" s="173" t="s">
        <v>147</v>
      </c>
      <c r="U20" s="173" t="s">
        <v>148</v>
      </c>
      <c r="V20" s="174" t="s">
        <v>149</v>
      </c>
      <c r="W20" s="173" t="s">
        <v>150</v>
      </c>
      <c r="X20" s="173" t="s">
        <v>151</v>
      </c>
      <c r="Y20" s="174" t="s">
        <v>152</v>
      </c>
      <c r="Z20" s="173" t="s">
        <v>150</v>
      </c>
      <c r="AA20" s="173" t="s">
        <v>136</v>
      </c>
      <c r="AB20" s="173" t="s">
        <v>153</v>
      </c>
      <c r="AD20" s="154" t="e">
        <f>AVERAGE(E20,H20,#REF!,K20,N20)</f>
        <v>#REF!</v>
      </c>
      <c r="AE20" s="154">
        <f t="shared" ref="AE20:AE24" si="5">Q20*B20</f>
        <v>6737500</v>
      </c>
    </row>
    <row r="21" spans="1:31" s="162" customFormat="1" ht="18" hidden="1" customHeight="1" x14ac:dyDescent="0.2">
      <c r="A21" s="38" t="s">
        <v>30</v>
      </c>
      <c r="B21" s="175">
        <v>7</v>
      </c>
      <c r="C21" s="150" t="s">
        <v>28</v>
      </c>
      <c r="D21" s="150" t="s">
        <v>28</v>
      </c>
      <c r="E21" s="160">
        <v>0</v>
      </c>
      <c r="F21" s="152">
        <f t="shared" si="1"/>
        <v>0</v>
      </c>
      <c r="G21" s="161">
        <v>0</v>
      </c>
      <c r="H21" s="160">
        <v>0</v>
      </c>
      <c r="I21" s="132">
        <f t="shared" si="2"/>
        <v>0</v>
      </c>
      <c r="J21" s="132">
        <v>0</v>
      </c>
      <c r="K21" s="176">
        <v>4000000</v>
      </c>
      <c r="L21" s="171">
        <f>K21*B21</f>
        <v>28000000</v>
      </c>
      <c r="M21" s="161">
        <v>0</v>
      </c>
      <c r="N21" s="176">
        <v>500000</v>
      </c>
      <c r="O21" s="176">
        <v>500000</v>
      </c>
      <c r="P21" s="161">
        <v>0</v>
      </c>
      <c r="Q21" s="132">
        <f t="shared" si="3"/>
        <v>1125000</v>
      </c>
      <c r="R21" s="132">
        <f t="shared" si="4"/>
        <v>7875000</v>
      </c>
      <c r="T21" s="135"/>
      <c r="U21" s="135"/>
      <c r="V21" s="135"/>
      <c r="W21" s="135"/>
      <c r="X21" s="135"/>
      <c r="Y21" s="146"/>
      <c r="Z21" s="146"/>
      <c r="AD21" s="154" t="e">
        <f>AVERAGE(E21,H21,#REF!,K21,N21)</f>
        <v>#REF!</v>
      </c>
      <c r="AE21" s="154">
        <f t="shared" si="5"/>
        <v>7875000</v>
      </c>
    </row>
    <row r="22" spans="1:31" s="162" customFormat="1" ht="18" hidden="1" customHeight="1" x14ac:dyDescent="0.2">
      <c r="A22" s="38" t="s">
        <v>154</v>
      </c>
      <c r="B22" s="175">
        <v>7</v>
      </c>
      <c r="C22" s="150" t="s">
        <v>28</v>
      </c>
      <c r="D22" s="150" t="s">
        <v>28</v>
      </c>
      <c r="E22" s="160">
        <v>0</v>
      </c>
      <c r="F22" s="152">
        <f t="shared" si="1"/>
        <v>0</v>
      </c>
      <c r="G22" s="161">
        <v>0</v>
      </c>
      <c r="H22" s="160">
        <v>0</v>
      </c>
      <c r="I22" s="132">
        <f t="shared" si="2"/>
        <v>0</v>
      </c>
      <c r="J22" s="132">
        <v>0</v>
      </c>
      <c r="K22" s="176">
        <v>3000000</v>
      </c>
      <c r="L22" s="171">
        <f>K22*B22</f>
        <v>21000000</v>
      </c>
      <c r="M22" s="161">
        <v>0</v>
      </c>
      <c r="N22" s="176">
        <v>5000000</v>
      </c>
      <c r="O22" s="176">
        <v>5000000</v>
      </c>
      <c r="P22" s="161">
        <v>0</v>
      </c>
      <c r="Q22" s="132">
        <f t="shared" si="3"/>
        <v>2000000</v>
      </c>
      <c r="R22" s="132">
        <f t="shared" si="4"/>
        <v>14000000</v>
      </c>
      <c r="T22" s="177" t="s">
        <v>155</v>
      </c>
      <c r="U22" s="177" t="s">
        <v>150</v>
      </c>
      <c r="V22" s="177"/>
      <c r="W22" s="177"/>
      <c r="X22" s="177"/>
      <c r="Y22" s="177" t="s">
        <v>156</v>
      </c>
      <c r="Z22" s="177" t="s">
        <v>157</v>
      </c>
      <c r="AA22" s="177" t="s">
        <v>158</v>
      </c>
      <c r="AB22" s="177" t="s">
        <v>153</v>
      </c>
      <c r="AD22" s="154" t="e">
        <f>AVERAGE(E22,H22,#REF!,K22,N22)</f>
        <v>#REF!</v>
      </c>
      <c r="AE22" s="154">
        <f t="shared" si="5"/>
        <v>14000000</v>
      </c>
    </row>
    <row r="23" spans="1:31" ht="25.5" customHeight="1" x14ac:dyDescent="0.2">
      <c r="A23" s="38" t="s">
        <v>30</v>
      </c>
      <c r="B23" s="178">
        <v>1</v>
      </c>
      <c r="C23" s="150" t="s">
        <v>28</v>
      </c>
      <c r="D23" s="150" t="s">
        <v>28</v>
      </c>
      <c r="E23" s="153">
        <v>7500000</v>
      </c>
      <c r="F23" s="152">
        <f t="shared" si="1"/>
        <v>7500000</v>
      </c>
      <c r="G23" s="132">
        <v>0</v>
      </c>
      <c r="H23" s="153">
        <v>25000000</v>
      </c>
      <c r="I23" s="132">
        <f t="shared" si="2"/>
        <v>25000000</v>
      </c>
      <c r="J23" s="132">
        <v>0</v>
      </c>
      <c r="K23" s="170">
        <v>8250000</v>
      </c>
      <c r="L23" s="171">
        <f>K23*B23</f>
        <v>8250000</v>
      </c>
      <c r="M23" s="132">
        <v>0</v>
      </c>
      <c r="N23" s="170">
        <v>500000</v>
      </c>
      <c r="O23" s="170">
        <v>500000</v>
      </c>
      <c r="P23" s="132">
        <v>0</v>
      </c>
      <c r="Q23" s="132">
        <f t="shared" si="3"/>
        <v>10312500</v>
      </c>
      <c r="R23" s="132">
        <f t="shared" si="4"/>
        <v>10312500</v>
      </c>
      <c r="T23" s="179" t="s">
        <v>159</v>
      </c>
      <c r="U23" s="180">
        <v>1333333</v>
      </c>
      <c r="V23" s="181">
        <v>1.61E-2</v>
      </c>
      <c r="W23" s="180">
        <f>+U23*V23</f>
        <v>21466.6613</v>
      </c>
      <c r="X23" s="180">
        <f>+U23+W23</f>
        <v>1354799.6613</v>
      </c>
      <c r="Y23" s="181">
        <v>5.62E-2</v>
      </c>
      <c r="Z23" s="180">
        <f>+X23*Y23</f>
        <v>76139.740965060002</v>
      </c>
      <c r="AA23" s="182">
        <f>+X23+Z23</f>
        <v>1430939.40226506</v>
      </c>
      <c r="AB23" s="525">
        <f>+AVERAGE(AA23:AA26)</f>
        <v>1390239.80010786</v>
      </c>
      <c r="AD23" s="154" t="e">
        <f>AVERAGE(E23,H23,#REF!,K23,N23)</f>
        <v>#REF!</v>
      </c>
      <c r="AE23" s="154">
        <f t="shared" si="5"/>
        <v>10312500</v>
      </c>
    </row>
    <row r="24" spans="1:31" ht="25.5" customHeight="1" x14ac:dyDescent="0.2">
      <c r="A24" s="38" t="s">
        <v>154</v>
      </c>
      <c r="B24" s="178">
        <v>1</v>
      </c>
      <c r="C24" s="150" t="s">
        <v>28</v>
      </c>
      <c r="D24" s="150" t="s">
        <v>28</v>
      </c>
      <c r="E24" s="153">
        <v>4000000</v>
      </c>
      <c r="F24" s="152">
        <f t="shared" si="1"/>
        <v>4000000</v>
      </c>
      <c r="G24" s="132"/>
      <c r="H24" s="153">
        <v>10000000</v>
      </c>
      <c r="I24" s="132">
        <f t="shared" si="2"/>
        <v>10000000</v>
      </c>
      <c r="J24" s="132">
        <v>0</v>
      </c>
      <c r="K24" s="170">
        <v>210000</v>
      </c>
      <c r="L24" s="171">
        <v>8400000</v>
      </c>
      <c r="M24" s="132"/>
      <c r="N24" s="170">
        <v>5000000</v>
      </c>
      <c r="O24" s="170">
        <v>5000000</v>
      </c>
      <c r="P24" s="132"/>
      <c r="Q24" s="132">
        <f t="shared" si="3"/>
        <v>4802500</v>
      </c>
      <c r="R24" s="132">
        <f t="shared" si="4"/>
        <v>4802500</v>
      </c>
      <c r="T24" s="179"/>
      <c r="U24" s="180"/>
      <c r="V24" s="181"/>
      <c r="W24" s="180"/>
      <c r="X24" s="180"/>
      <c r="Y24" s="181"/>
      <c r="Z24" s="180"/>
      <c r="AA24" s="182"/>
      <c r="AB24" s="525"/>
      <c r="AD24" s="154" t="e">
        <f>AVERAGE(E24,H24,#REF!,K24,N24)</f>
        <v>#REF!</v>
      </c>
      <c r="AE24" s="154">
        <f t="shared" si="5"/>
        <v>4802500</v>
      </c>
    </row>
    <row r="25" spans="1:31" ht="18" customHeight="1" x14ac:dyDescent="0.2">
      <c r="A25" s="141" t="s">
        <v>160</v>
      </c>
      <c r="B25" s="165"/>
      <c r="C25" s="165"/>
      <c r="D25" s="165"/>
      <c r="E25" s="165"/>
      <c r="F25" s="166">
        <f>SUM(F19:F24)</f>
        <v>26955374</v>
      </c>
      <c r="G25" s="167">
        <f>+G19+G20</f>
        <v>0</v>
      </c>
      <c r="H25" s="165"/>
      <c r="I25" s="166">
        <f>SUM(I19:I24)</f>
        <v>63000000</v>
      </c>
      <c r="J25" s="167">
        <f>+J19+J20+J23+J24</f>
        <v>0</v>
      </c>
      <c r="K25" s="165"/>
      <c r="L25" s="166">
        <f>(L19+L20+L23+L24)</f>
        <v>35050000</v>
      </c>
      <c r="M25" s="167">
        <v>0</v>
      </c>
      <c r="N25" s="165"/>
      <c r="O25" s="166">
        <f>(O19+O20+O23+O24)</f>
        <v>30500000</v>
      </c>
      <c r="P25" s="167">
        <v>0</v>
      </c>
      <c r="Q25" s="167"/>
      <c r="R25" s="167">
        <f>SUM(R19:R24)</f>
        <v>58703843.5</v>
      </c>
      <c r="T25" s="179" t="s">
        <v>161</v>
      </c>
      <c r="U25" s="180">
        <v>1714286</v>
      </c>
      <c r="V25" s="181">
        <v>1.61E-2</v>
      </c>
      <c r="W25" s="180">
        <f>+U25*V25</f>
        <v>27600.0046</v>
      </c>
      <c r="X25" s="180">
        <f>+U25+W25</f>
        <v>1741886.0046000001</v>
      </c>
      <c r="Y25" s="181">
        <v>5.62E-2</v>
      </c>
      <c r="Z25" s="180">
        <f>+X25*Y25</f>
        <v>97893.99345852001</v>
      </c>
      <c r="AA25" s="182">
        <f>+X25+Z25</f>
        <v>1839779.99805852</v>
      </c>
      <c r="AB25" s="525"/>
      <c r="AE25" s="154">
        <f>SUM(AE19:AE24)</f>
        <v>58703843.5</v>
      </c>
    </row>
    <row r="26" spans="1:31" ht="18" customHeight="1" x14ac:dyDescent="0.2">
      <c r="A26" s="141" t="s">
        <v>162</v>
      </c>
      <c r="B26" s="183"/>
      <c r="C26" s="183"/>
      <c r="D26" s="183"/>
      <c r="E26" s="183"/>
      <c r="F26" s="184"/>
      <c r="G26" s="143"/>
      <c r="H26" s="183"/>
      <c r="I26" s="183"/>
      <c r="J26" s="143"/>
      <c r="K26" s="183"/>
      <c r="L26" s="183"/>
      <c r="M26" s="143"/>
      <c r="N26" s="183"/>
      <c r="O26" s="183"/>
      <c r="P26" s="143"/>
      <c r="Q26" s="145"/>
      <c r="R26" s="145"/>
      <c r="T26" s="179" t="s">
        <v>163</v>
      </c>
      <c r="U26" s="185">
        <v>0</v>
      </c>
      <c r="V26" s="185"/>
      <c r="W26" s="185"/>
      <c r="X26" s="185"/>
      <c r="Y26" s="185">
        <v>0</v>
      </c>
      <c r="Z26" s="185">
        <v>0</v>
      </c>
      <c r="AA26" s="180">
        <v>900000</v>
      </c>
      <c r="AB26" s="525"/>
    </row>
    <row r="27" spans="1:31" ht="18" customHeight="1" x14ac:dyDescent="0.2">
      <c r="A27" s="38" t="s">
        <v>164</v>
      </c>
      <c r="B27" s="186">
        <v>6</v>
      </c>
      <c r="C27" s="187" t="s">
        <v>34</v>
      </c>
      <c r="D27" s="150" t="s">
        <v>28</v>
      </c>
      <c r="E27" s="151">
        <v>10000000</v>
      </c>
      <c r="F27" s="188">
        <f>+B27*E27</f>
        <v>60000000</v>
      </c>
      <c r="G27" s="151">
        <v>0</v>
      </c>
      <c r="H27" s="151">
        <v>18000000</v>
      </c>
      <c r="I27" s="151">
        <f>+H27*B27</f>
        <v>108000000</v>
      </c>
      <c r="J27" s="151">
        <v>0</v>
      </c>
      <c r="K27" s="151">
        <v>14100000</v>
      </c>
      <c r="L27" s="151">
        <f>K27*B27</f>
        <v>84600000</v>
      </c>
      <c r="M27" s="151">
        <v>0</v>
      </c>
      <c r="N27" s="151">
        <v>18000000</v>
      </c>
      <c r="O27" s="151">
        <f>N27*B27</f>
        <v>108000000</v>
      </c>
      <c r="P27" s="151">
        <v>0</v>
      </c>
      <c r="Q27" s="132">
        <f t="shared" ref="Q27:Q29" si="6">AVERAGE(E27,H27,K27,N27)</f>
        <v>15025000</v>
      </c>
      <c r="R27" s="132">
        <f>Q27*B27</f>
        <v>90150000</v>
      </c>
      <c r="AD27" s="154" t="e">
        <f>AVERAGE(E27,H27,#REF!,K27,N27)</f>
        <v>#REF!</v>
      </c>
      <c r="AE27" s="154">
        <f>Q27*B27</f>
        <v>90150000</v>
      </c>
    </row>
    <row r="28" spans="1:31" ht="29.25" customHeight="1" x14ac:dyDescent="0.2">
      <c r="A28" s="38" t="s">
        <v>165</v>
      </c>
      <c r="B28" s="186">
        <v>1</v>
      </c>
      <c r="C28" s="189" t="s">
        <v>27</v>
      </c>
      <c r="D28" s="150" t="s">
        <v>28</v>
      </c>
      <c r="E28" s="151">
        <v>20000000</v>
      </c>
      <c r="F28" s="188">
        <f>+B28*E28</f>
        <v>20000000</v>
      </c>
      <c r="G28" s="151">
        <v>0</v>
      </c>
      <c r="H28" s="151">
        <v>25000000</v>
      </c>
      <c r="I28" s="151">
        <f>+H28*B28</f>
        <v>25000000</v>
      </c>
      <c r="J28" s="151">
        <v>0</v>
      </c>
      <c r="K28" s="151">
        <v>49806000</v>
      </c>
      <c r="L28" s="151">
        <f>K28*B28</f>
        <v>49806000</v>
      </c>
      <c r="M28" s="151">
        <v>0</v>
      </c>
      <c r="N28" s="151">
        <v>20000000</v>
      </c>
      <c r="O28" s="151">
        <f>N28*B28</f>
        <v>20000000</v>
      </c>
      <c r="P28" s="151">
        <v>0</v>
      </c>
      <c r="Q28" s="132">
        <f t="shared" si="6"/>
        <v>28701500</v>
      </c>
      <c r="R28" s="132">
        <f>Q28*B28</f>
        <v>28701500</v>
      </c>
      <c r="AD28" s="154" t="e">
        <f>AVERAGE(E28,H28,#REF!,K28,N28)</f>
        <v>#REF!</v>
      </c>
      <c r="AE28" s="154">
        <f t="shared" ref="AE28:AE29" si="7">Q28*B28</f>
        <v>28701500</v>
      </c>
    </row>
    <row r="29" spans="1:31" ht="41.25" customHeight="1" x14ac:dyDescent="0.2">
      <c r="A29" s="190" t="s">
        <v>166</v>
      </c>
      <c r="B29" s="186">
        <v>1</v>
      </c>
      <c r="C29" s="189" t="s">
        <v>27</v>
      </c>
      <c r="D29" s="150" t="s">
        <v>28</v>
      </c>
      <c r="E29" s="151">
        <v>40000000</v>
      </c>
      <c r="F29" s="188">
        <f>+B29*E29</f>
        <v>40000000</v>
      </c>
      <c r="G29" s="151">
        <v>0</v>
      </c>
      <c r="H29" s="151">
        <v>45000000</v>
      </c>
      <c r="I29" s="151">
        <f>+H29*B29</f>
        <v>45000000</v>
      </c>
      <c r="J29" s="151">
        <v>0</v>
      </c>
      <c r="K29" s="151">
        <v>20000000</v>
      </c>
      <c r="L29" s="151">
        <f>K29*B29</f>
        <v>20000000</v>
      </c>
      <c r="M29" s="151">
        <v>0</v>
      </c>
      <c r="N29" s="151">
        <v>30000000</v>
      </c>
      <c r="O29" s="151">
        <f>N29*B29</f>
        <v>30000000</v>
      </c>
      <c r="P29" s="151">
        <v>0</v>
      </c>
      <c r="Q29" s="132">
        <f t="shared" si="6"/>
        <v>33750000</v>
      </c>
      <c r="R29" s="132">
        <f>Q29*B29</f>
        <v>33750000</v>
      </c>
      <c r="AD29" s="154" t="e">
        <f>AVERAGE(E29,H29,#REF!,K29,N29)</f>
        <v>#REF!</v>
      </c>
      <c r="AE29" s="154">
        <f t="shared" si="7"/>
        <v>33750000</v>
      </c>
    </row>
    <row r="30" spans="1:31" ht="18" customHeight="1" x14ac:dyDescent="0.2">
      <c r="A30" s="141" t="s">
        <v>167</v>
      </c>
      <c r="B30" s="165"/>
      <c r="C30" s="165"/>
      <c r="D30" s="165"/>
      <c r="E30" s="165"/>
      <c r="F30" s="166">
        <f>SUM(F27:F29)</f>
        <v>120000000</v>
      </c>
      <c r="G30" s="167">
        <f>+G25+G26+G27</f>
        <v>0</v>
      </c>
      <c r="H30" s="165"/>
      <c r="I30" s="166">
        <f>SUM(I27:I29)</f>
        <v>178000000</v>
      </c>
      <c r="J30" s="167">
        <f>+J25+J26+J27</f>
        <v>0</v>
      </c>
      <c r="K30" s="132">
        <v>0</v>
      </c>
      <c r="L30" s="166">
        <f>SUM(L27:L29)</f>
        <v>154406000</v>
      </c>
      <c r="M30" s="167">
        <v>0</v>
      </c>
      <c r="N30" s="132">
        <v>0</v>
      </c>
      <c r="O30" s="166">
        <f>SUM(O27:O29)</f>
        <v>158000000</v>
      </c>
      <c r="P30" s="167">
        <v>0</v>
      </c>
      <c r="Q30" s="167"/>
      <c r="R30" s="167">
        <f>SUM(R27:R29)</f>
        <v>152601500</v>
      </c>
      <c r="Y30" s="146"/>
      <c r="Z30" s="146"/>
      <c r="AE30" s="154">
        <f>SUM(AE27:AE29)</f>
        <v>152601500</v>
      </c>
    </row>
    <row r="31" spans="1:31" ht="16.5" thickBot="1" x14ac:dyDescent="0.25">
      <c r="A31" s="191" t="s">
        <v>168</v>
      </c>
      <c r="B31" s="165"/>
      <c r="C31" s="165"/>
      <c r="D31" s="165"/>
      <c r="E31" s="165"/>
      <c r="F31" s="192">
        <f>SUM(F17+F25+F30)</f>
        <v>225955374</v>
      </c>
      <c r="G31" s="167">
        <f>+G26+G27+G28</f>
        <v>0</v>
      </c>
      <c r="H31" s="165"/>
      <c r="I31" s="192">
        <f>(I17+I25+I30)</f>
        <v>319400000</v>
      </c>
      <c r="J31" s="193">
        <f>SUM(J27:J30)</f>
        <v>0</v>
      </c>
      <c r="K31" s="194"/>
      <c r="L31" s="192">
        <f>(L17+L25+L30)</f>
        <v>324456000</v>
      </c>
      <c r="M31" s="193">
        <f>SUM(M27:M30)</f>
        <v>0</v>
      </c>
      <c r="N31" s="194"/>
      <c r="O31" s="192">
        <f>(O17+O25+O30)</f>
        <v>729500000</v>
      </c>
      <c r="P31" s="193">
        <f>SUM(P27:P30)</f>
        <v>0</v>
      </c>
      <c r="Q31" s="195"/>
      <c r="R31" s="196">
        <f>SUM(R17,R25,R30)</f>
        <v>414430343.5</v>
      </c>
      <c r="AE31" s="154">
        <f>AE17+AE25+AE30</f>
        <v>414430343.5</v>
      </c>
    </row>
    <row r="32" spans="1:31" ht="15.75" customHeight="1" thickBot="1" x14ac:dyDescent="0.25">
      <c r="A32" s="526" t="s">
        <v>169</v>
      </c>
      <c r="B32" s="527"/>
      <c r="C32" s="527"/>
      <c r="D32" s="528"/>
      <c r="E32" s="197">
        <v>0.4</v>
      </c>
      <c r="F32" s="198">
        <v>131662150</v>
      </c>
      <c r="G32" s="167">
        <f>+G27+G28+G29</f>
        <v>0</v>
      </c>
      <c r="H32" s="197">
        <v>0.12</v>
      </c>
      <c r="I32" s="198">
        <f>((I17+I25)*H32)</f>
        <v>16968000</v>
      </c>
      <c r="J32" s="199"/>
      <c r="K32" s="200">
        <v>0.1</v>
      </c>
      <c r="L32" s="198">
        <f>((L17+L25)*K32)</f>
        <v>17005000</v>
      </c>
      <c r="M32" s="199"/>
      <c r="N32" s="200">
        <v>0.12</v>
      </c>
      <c r="O32" s="198">
        <f>((O17+O25)*N32)</f>
        <v>68580000</v>
      </c>
      <c r="P32" s="199"/>
      <c r="Q32" s="156">
        <f>AVERAGE(E32,H32,K32,N32)</f>
        <v>0.185</v>
      </c>
      <c r="R32" s="201">
        <f>+R31*Q32</f>
        <v>76669613.547499999</v>
      </c>
      <c r="AD32" s="146" t="e">
        <f>AVERAGE(E32,H32,#REF!,K32,N32)</f>
        <v>#REF!</v>
      </c>
    </row>
    <row r="33" spans="1:30" ht="16.5" thickBot="1" x14ac:dyDescent="0.25">
      <c r="A33" s="191" t="s">
        <v>170</v>
      </c>
      <c r="B33" s="165"/>
      <c r="C33" s="165"/>
      <c r="D33" s="165"/>
      <c r="E33" s="165"/>
      <c r="F33" s="192">
        <f>F31+F32</f>
        <v>357617524</v>
      </c>
      <c r="G33" s="167">
        <f>+G28+G29+G30</f>
        <v>0</v>
      </c>
      <c r="H33" s="165"/>
      <c r="I33" s="192">
        <f>SUM(I31:I32)</f>
        <v>336368000</v>
      </c>
      <c r="J33" s="193">
        <f>SUM(J32:J32)</f>
        <v>0</v>
      </c>
      <c r="K33" s="194"/>
      <c r="L33" s="192">
        <f>SUM(L31:L32)</f>
        <v>341461000</v>
      </c>
      <c r="M33" s="193">
        <f>SUM(M32:M32)</f>
        <v>0</v>
      </c>
      <c r="N33" s="194"/>
      <c r="O33" s="192">
        <f>SUM(O31:O32)</f>
        <v>798080000</v>
      </c>
      <c r="P33" s="193">
        <f>SUM(P32:P32)</f>
        <v>0</v>
      </c>
      <c r="R33" s="196">
        <f>SUM(R31:R32)</f>
        <v>491099957.04750001</v>
      </c>
    </row>
    <row r="34" spans="1:30" ht="16.5" hidden="1" thickBot="1" x14ac:dyDescent="0.25">
      <c r="A34" s="191" t="s">
        <v>42</v>
      </c>
      <c r="B34" s="165"/>
      <c r="C34" s="165"/>
      <c r="D34" s="165"/>
      <c r="E34" s="202">
        <v>0.19</v>
      </c>
      <c r="F34" s="192">
        <v>0</v>
      </c>
      <c r="G34" s="167"/>
      <c r="H34" s="202">
        <v>0</v>
      </c>
      <c r="I34" s="192">
        <f>I33*H34</f>
        <v>0</v>
      </c>
      <c r="J34" s="203"/>
      <c r="K34" s="204">
        <v>0.19</v>
      </c>
      <c r="L34" s="192">
        <v>0</v>
      </c>
      <c r="M34" s="203"/>
      <c r="N34" s="204">
        <v>0.19</v>
      </c>
      <c r="O34" s="192">
        <v>0</v>
      </c>
      <c r="P34" s="203"/>
      <c r="R34" s="205"/>
    </row>
    <row r="35" spans="1:30" ht="15.75" customHeight="1" thickBot="1" x14ac:dyDescent="0.25">
      <c r="A35" s="141" t="s">
        <v>171</v>
      </c>
      <c r="B35" s="186">
        <v>1</v>
      </c>
      <c r="C35" s="189" t="s">
        <v>27</v>
      </c>
      <c r="D35" s="150" t="s">
        <v>28</v>
      </c>
      <c r="E35" s="151">
        <v>35000000</v>
      </c>
      <c r="F35" s="188">
        <f>E35*B35</f>
        <v>35000000</v>
      </c>
      <c r="G35" s="167">
        <f>+G29+G30+G31</f>
        <v>0</v>
      </c>
      <c r="H35" s="151">
        <v>35000000</v>
      </c>
      <c r="I35" s="188">
        <f>H35*B35</f>
        <v>35000000</v>
      </c>
      <c r="J35" s="199"/>
      <c r="K35" s="151">
        <v>35000000</v>
      </c>
      <c r="L35" s="188">
        <f>K35*B35</f>
        <v>35000000</v>
      </c>
      <c r="M35" s="199"/>
      <c r="N35" s="151">
        <v>35000000</v>
      </c>
      <c r="O35" s="188">
        <f>N35*B35</f>
        <v>35000000</v>
      </c>
      <c r="P35" s="199"/>
      <c r="R35" s="201"/>
    </row>
    <row r="36" spans="1:30" x14ac:dyDescent="0.2">
      <c r="A36" s="206"/>
      <c r="B36" s="206"/>
      <c r="C36" s="206"/>
      <c r="D36" s="207"/>
      <c r="E36" s="206"/>
      <c r="F36" s="208"/>
      <c r="G36" s="209"/>
    </row>
    <row r="37" spans="1:30" ht="13.5" thickBot="1" x14ac:dyDescent="0.25">
      <c r="A37" s="206"/>
      <c r="B37" s="206"/>
      <c r="C37" s="206"/>
      <c r="D37" s="207"/>
      <c r="E37" s="206"/>
      <c r="F37" s="208"/>
      <c r="G37" s="209"/>
    </row>
    <row r="38" spans="1:30" ht="13.5" thickBot="1" x14ac:dyDescent="0.25">
      <c r="A38" s="210" t="s">
        <v>172</v>
      </c>
      <c r="B38" s="211"/>
      <c r="C38" s="211"/>
      <c r="D38" s="211"/>
      <c r="E38" s="211"/>
      <c r="F38" s="212">
        <f>(F33+F34+F35)</f>
        <v>392617524</v>
      </c>
      <c r="G38" s="213">
        <v>168545256</v>
      </c>
      <c r="I38" s="212">
        <f>SUM(I33+I34+I35)</f>
        <v>371368000</v>
      </c>
      <c r="J38" s="214">
        <v>43408800</v>
      </c>
      <c r="L38" s="212">
        <f>(L33+L34+L35)</f>
        <v>376461000</v>
      </c>
      <c r="M38" s="214">
        <v>128500000</v>
      </c>
      <c r="O38" s="212">
        <f>(O33+O34+O35)</f>
        <v>833080000</v>
      </c>
      <c r="P38" s="214">
        <v>0</v>
      </c>
      <c r="Q38" s="215" t="s">
        <v>173</v>
      </c>
      <c r="R38" s="215" t="e">
        <f>+#REF!+#REF!</f>
        <v>#REF!</v>
      </c>
      <c r="AD38" s="146" t="e">
        <f>AVERAGE(E38,H38,#REF!,K38,N38)</f>
        <v>#REF!</v>
      </c>
    </row>
    <row r="39" spans="1:30" ht="13.5" thickBot="1" x14ac:dyDescent="0.25">
      <c r="A39" s="210" t="s">
        <v>174</v>
      </c>
      <c r="B39" s="211"/>
      <c r="C39" s="211"/>
      <c r="D39" s="211"/>
      <c r="E39" s="211"/>
      <c r="F39" s="216">
        <f>G40</f>
        <v>0.30035002677832623</v>
      </c>
      <c r="G39" s="217">
        <f>+G38/F43</f>
        <v>0.30035002677832623</v>
      </c>
      <c r="H39" s="154"/>
      <c r="I39" s="216">
        <f>J40</f>
        <v>0.10465580524272332</v>
      </c>
      <c r="J39" s="218">
        <f>+J38/I43</f>
        <v>0.10465580524272332</v>
      </c>
      <c r="K39" s="154"/>
      <c r="L39" s="219">
        <f>M40</f>
        <v>0.25447509807688118</v>
      </c>
      <c r="M39" s="218">
        <f>+M38/L43</f>
        <v>0.25447509807688118</v>
      </c>
      <c r="N39" s="154"/>
      <c r="O39" s="219">
        <f>P40</f>
        <v>0</v>
      </c>
      <c r="P39" s="218">
        <f>+P38/O38</f>
        <v>0</v>
      </c>
    </row>
    <row r="40" spans="1:30" ht="13.5" thickBot="1" x14ac:dyDescent="0.25">
      <c r="G40" s="220">
        <f>+G39</f>
        <v>0.30035002677832623</v>
      </c>
      <c r="H40" s="221"/>
      <c r="I40" s="221"/>
      <c r="J40" s="222">
        <f>J39</f>
        <v>0.10465580524272332</v>
      </c>
      <c r="K40" s="221"/>
      <c r="L40" s="221"/>
      <c r="M40" s="223">
        <f>M39</f>
        <v>0.25447509807688118</v>
      </c>
      <c r="N40" s="221"/>
      <c r="O40" s="221"/>
      <c r="P40" s="223">
        <f>P39</f>
        <v>0</v>
      </c>
      <c r="Q40" s="224">
        <v>0.14000000000000001</v>
      </c>
      <c r="R40" s="215" t="e">
        <f>+R38*Q40</f>
        <v>#REF!</v>
      </c>
      <c r="S40" s="225" t="s">
        <v>175</v>
      </c>
    </row>
    <row r="42" spans="1:30" x14ac:dyDescent="0.2">
      <c r="L42" s="154"/>
      <c r="Q42" s="224">
        <f>0.86-Q40%</f>
        <v>0.85860000000000003</v>
      </c>
      <c r="R42" s="226" t="e">
        <f>+R38-R40</f>
        <v>#REF!</v>
      </c>
      <c r="S42" s="227" t="s">
        <v>176</v>
      </c>
    </row>
    <row r="43" spans="1:30" ht="15.75" x14ac:dyDescent="0.25">
      <c r="A43" s="228" t="s">
        <v>177</v>
      </c>
      <c r="B43" s="228"/>
      <c r="C43" s="228"/>
      <c r="D43" s="228"/>
      <c r="E43" s="228"/>
      <c r="F43" s="229">
        <f>F38+G38</f>
        <v>561162780</v>
      </c>
      <c r="G43" s="228"/>
      <c r="H43" s="228"/>
      <c r="I43" s="229">
        <f>I38+J38</f>
        <v>414776800</v>
      </c>
      <c r="J43" s="228"/>
      <c r="K43" s="228"/>
      <c r="L43" s="229">
        <f>L38+M38</f>
        <v>504961000</v>
      </c>
      <c r="M43" s="228"/>
      <c r="N43" s="228"/>
      <c r="O43" s="229">
        <f>O38+P38</f>
        <v>833080000</v>
      </c>
      <c r="P43" s="230"/>
    </row>
    <row r="45" spans="1:30" ht="12.75" hidden="1" customHeight="1" x14ac:dyDescent="0.2">
      <c r="P45" s="231" t="s">
        <v>178</v>
      </c>
      <c r="Q45" s="539" t="s">
        <v>179</v>
      </c>
      <c r="R45" s="540"/>
      <c r="S45" s="540"/>
      <c r="T45" s="540"/>
      <c r="U45" s="540"/>
      <c r="V45" s="541"/>
    </row>
    <row r="46" spans="1:30" ht="17.25" hidden="1" customHeight="1" x14ac:dyDescent="0.2">
      <c r="P46" s="232" t="s">
        <v>180</v>
      </c>
      <c r="Q46" s="542" t="s">
        <v>180</v>
      </c>
      <c r="R46" s="542" t="s">
        <v>176</v>
      </c>
      <c r="S46" s="542" t="s">
        <v>181</v>
      </c>
      <c r="T46" s="542"/>
      <c r="U46" s="542"/>
      <c r="V46" s="542" t="s">
        <v>182</v>
      </c>
    </row>
    <row r="47" spans="1:30" ht="17.25" hidden="1" customHeight="1" x14ac:dyDescent="0.2">
      <c r="P47" s="234" t="s">
        <v>183</v>
      </c>
      <c r="Q47" s="542"/>
      <c r="R47" s="542"/>
      <c r="S47" s="233" t="s">
        <v>39</v>
      </c>
      <c r="T47" s="233" t="s">
        <v>150</v>
      </c>
      <c r="U47" s="233" t="s">
        <v>184</v>
      </c>
      <c r="V47" s="542"/>
    </row>
    <row r="48" spans="1:30" ht="17.25" hidden="1" customHeight="1" x14ac:dyDescent="0.2">
      <c r="P48" s="234" t="s">
        <v>185</v>
      </c>
      <c r="Q48" s="235" t="s">
        <v>183</v>
      </c>
      <c r="R48" s="185">
        <f>+V48-T48</f>
        <v>443240096.15295982</v>
      </c>
      <c r="S48" s="236">
        <f>+G40</f>
        <v>0.30035002677832623</v>
      </c>
      <c r="T48" s="185">
        <f>+F38*S48</f>
        <v>117922683.84704015</v>
      </c>
      <c r="U48" s="169" t="s">
        <v>186</v>
      </c>
      <c r="V48" s="185">
        <f>F43</f>
        <v>561162780</v>
      </c>
    </row>
    <row r="49" spans="9:22" ht="17.25" hidden="1" customHeight="1" x14ac:dyDescent="0.2">
      <c r="P49" s="234" t="s">
        <v>187</v>
      </c>
      <c r="Q49" s="533" t="s">
        <v>185</v>
      </c>
      <c r="R49" s="534" t="e">
        <f>+V49-T49-T50</f>
        <v>#REF!</v>
      </c>
      <c r="S49" s="237" t="e">
        <f>+#REF!</f>
        <v>#REF!</v>
      </c>
      <c r="T49" s="185" t="e">
        <f>+I38*S49</f>
        <v>#REF!</v>
      </c>
      <c r="U49" s="169" t="s">
        <v>188</v>
      </c>
      <c r="V49" s="534">
        <v>1065209596</v>
      </c>
    </row>
    <row r="50" spans="9:22" ht="17.25" hidden="1" customHeight="1" x14ac:dyDescent="0.2">
      <c r="P50" s="234" t="s">
        <v>189</v>
      </c>
      <c r="Q50" s="533"/>
      <c r="R50" s="534"/>
      <c r="S50" s="238">
        <f>+J39</f>
        <v>0.10465580524272332</v>
      </c>
      <c r="T50" s="185">
        <f>+I38*S50</f>
        <v>38865817.081379674</v>
      </c>
      <c r="U50" s="169" t="s">
        <v>186</v>
      </c>
      <c r="V50" s="534"/>
    </row>
    <row r="51" spans="9:22" ht="17.25" hidden="1" customHeight="1" x14ac:dyDescent="0.2">
      <c r="P51" s="239" t="s">
        <v>190</v>
      </c>
      <c r="Q51" s="235" t="s">
        <v>187</v>
      </c>
      <c r="R51" s="185" t="e">
        <f>+V51-T51</f>
        <v>#REF!</v>
      </c>
      <c r="S51" s="236" t="e">
        <f>+#REF!</f>
        <v>#REF!</v>
      </c>
      <c r="T51" s="185" t="e">
        <f>+#REF!*S51</f>
        <v>#REF!</v>
      </c>
      <c r="U51" s="169" t="s">
        <v>188</v>
      </c>
      <c r="V51" s="185">
        <v>869000000</v>
      </c>
    </row>
    <row r="52" spans="9:22" ht="17.25" hidden="1" customHeight="1" x14ac:dyDescent="0.2">
      <c r="P52" s="239" t="s">
        <v>191</v>
      </c>
      <c r="Q52" s="235" t="s">
        <v>189</v>
      </c>
      <c r="R52" s="185" t="e">
        <f>+V52-T52</f>
        <v>#REF!</v>
      </c>
      <c r="S52" s="238" t="e">
        <f>+#REF!</f>
        <v>#REF!</v>
      </c>
      <c r="T52" s="185" t="e">
        <f>+L38*S52</f>
        <v>#REF!</v>
      </c>
      <c r="U52" s="169" t="s">
        <v>188</v>
      </c>
      <c r="V52" s="185">
        <v>885808000</v>
      </c>
    </row>
    <row r="53" spans="9:22" hidden="1" x14ac:dyDescent="0.2">
      <c r="Q53" s="235" t="s">
        <v>190</v>
      </c>
      <c r="R53" s="185">
        <f>+V53-T53</f>
        <v>1420000000</v>
      </c>
      <c r="S53" s="240">
        <v>0</v>
      </c>
      <c r="T53" s="185">
        <v>0</v>
      </c>
      <c r="U53" s="169"/>
      <c r="V53" s="185">
        <v>1420000000</v>
      </c>
    </row>
    <row r="54" spans="9:22" x14ac:dyDescent="0.2">
      <c r="Q54" s="235" t="s">
        <v>191</v>
      </c>
      <c r="R54" s="185" t="e">
        <f>+V54-T54</f>
        <v>#REF!</v>
      </c>
      <c r="S54" s="240" t="e">
        <f>+#REF!</f>
        <v>#REF!</v>
      </c>
      <c r="T54" s="185" t="e">
        <f>+#REF!*S54</f>
        <v>#REF!</v>
      </c>
      <c r="U54" s="169" t="s">
        <v>188</v>
      </c>
      <c r="V54" s="185">
        <v>2064000004.4740295</v>
      </c>
    </row>
    <row r="55" spans="9:22" x14ac:dyDescent="0.2">
      <c r="I55" s="241"/>
    </row>
    <row r="58" spans="9:22" x14ac:dyDescent="0.2">
      <c r="J58" s="164"/>
    </row>
  </sheetData>
  <protectedRanges>
    <protectedRange sqref="E4:E16" name="Rango1_1"/>
    <protectedRange sqref="E19:E24" name="Rango1_2"/>
    <protectedRange sqref="E27" name="Rango1_3"/>
    <protectedRange sqref="E28:E29 E35 H35 N35 K35" name="Rango1_4"/>
    <protectedRange sqref="H4:H16" name="Rango1_7"/>
    <protectedRange sqref="H19:H24" name="Rango1_9"/>
    <protectedRange sqref="K28:K29 N28:N29 H27:H29" name="Rango1_10"/>
    <protectedRange sqref="K4:K16 N4:N16" name="Rango1_13"/>
    <protectedRange sqref="U26:Z26" name="Rango1_2_1"/>
  </protectedRanges>
  <mergeCells count="20">
    <mergeCell ref="Q49:Q50"/>
    <mergeCell ref="R49:R50"/>
    <mergeCell ref="V49:V50"/>
    <mergeCell ref="K1:M1"/>
    <mergeCell ref="N1:P1"/>
    <mergeCell ref="Q1:R1"/>
    <mergeCell ref="Q45:V45"/>
    <mergeCell ref="Q46:Q47"/>
    <mergeCell ref="R46:R47"/>
    <mergeCell ref="S46:U46"/>
    <mergeCell ref="V46:V47"/>
    <mergeCell ref="AD1:AD2"/>
    <mergeCell ref="AB23:AB26"/>
    <mergeCell ref="A32:D32"/>
    <mergeCell ref="A1:A2"/>
    <mergeCell ref="B1:B2"/>
    <mergeCell ref="C1:C2"/>
    <mergeCell ref="D1:D2"/>
    <mergeCell ref="E1:G1"/>
    <mergeCell ref="H1:J1"/>
  </mergeCell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36A9A-0881-4792-A8AB-D19FDAB4D886}">
  <dimension ref="A1:AX685"/>
  <sheetViews>
    <sheetView topLeftCell="B9" zoomScale="110" zoomScaleNormal="110" workbookViewId="0">
      <selection activeCell="G20" sqref="G20:I20"/>
    </sheetView>
  </sheetViews>
  <sheetFormatPr baseColWidth="10" defaultRowHeight="15" x14ac:dyDescent="0.25"/>
  <cols>
    <col min="1" max="1" width="8.28515625" style="8" customWidth="1"/>
    <col min="2" max="2" width="24.7109375" customWidth="1"/>
    <col min="3" max="3" width="33.28515625" customWidth="1"/>
    <col min="4" max="4" width="19.85546875" customWidth="1"/>
    <col min="5" max="5" width="22.28515625" customWidth="1"/>
    <col min="6" max="6" width="16.28515625" customWidth="1"/>
    <col min="7" max="7" width="16.5703125" customWidth="1"/>
    <col min="8" max="8" width="23.5703125" customWidth="1"/>
    <col min="9" max="9" width="19.140625" customWidth="1"/>
    <col min="10" max="10" width="25.140625" customWidth="1"/>
    <col min="11" max="11" width="20.5703125" customWidth="1"/>
    <col min="12" max="12" width="24.5703125" customWidth="1"/>
    <col min="13" max="48" width="11.42578125" style="8"/>
  </cols>
  <sheetData>
    <row r="1" spans="2:50" s="8" customFormat="1" x14ac:dyDescent="0.25"/>
    <row r="2" spans="2:50" s="8" customFormat="1" x14ac:dyDescent="0.25"/>
    <row r="3" spans="2:50" s="8" customFormat="1" x14ac:dyDescent="0.25"/>
    <row r="4" spans="2:50" s="8" customFormat="1" x14ac:dyDescent="0.25"/>
    <row r="5" spans="2:50" s="8" customFormat="1" x14ac:dyDescent="0.25"/>
    <row r="6" spans="2:50" s="8" customFormat="1" x14ac:dyDescent="0.25"/>
    <row r="7" spans="2:50" s="8" customFormat="1" x14ac:dyDescent="0.25"/>
    <row r="8" spans="2:50" s="8" customFormat="1" x14ac:dyDescent="0.25"/>
    <row r="9" spans="2:50" s="8" customFormat="1" x14ac:dyDescent="0.25"/>
    <row r="10" spans="2:50" s="8" customFormat="1" x14ac:dyDescent="0.25"/>
    <row r="11" spans="2:50" s="8" customFormat="1" x14ac:dyDescent="0.25"/>
    <row r="12" spans="2:50" s="8" customFormat="1" x14ac:dyDescent="0.25"/>
    <row r="13" spans="2:50" s="8" customFormat="1" x14ac:dyDescent="0.25"/>
    <row r="14" spans="2:50" x14ac:dyDescent="0.25">
      <c r="B14" s="543" t="s">
        <v>32</v>
      </c>
      <c r="C14" s="543"/>
      <c r="D14" s="543"/>
      <c r="E14" s="543"/>
      <c r="F14" s="543"/>
      <c r="G14" s="543"/>
      <c r="H14" s="543"/>
      <c r="I14" s="543"/>
      <c r="J14" s="244"/>
      <c r="K14" s="8"/>
      <c r="L14" s="8"/>
      <c r="AW14" s="8"/>
      <c r="AX14" s="8"/>
    </row>
    <row r="15" spans="2:50" ht="22.5" x14ac:dyDescent="0.25">
      <c r="B15" s="133" t="s">
        <v>11</v>
      </c>
      <c r="C15" s="133" t="s">
        <v>20</v>
      </c>
      <c r="D15" s="134" t="s">
        <v>21</v>
      </c>
      <c r="E15" s="134" t="s">
        <v>22</v>
      </c>
      <c r="F15" s="134" t="s">
        <v>23</v>
      </c>
      <c r="G15" s="134" t="s">
        <v>193</v>
      </c>
      <c r="H15" s="134" t="s">
        <v>192</v>
      </c>
      <c r="I15" s="133" t="s">
        <v>124</v>
      </c>
      <c r="J15" s="8"/>
      <c r="K15" s="8"/>
      <c r="L15" s="8"/>
      <c r="AW15" s="8"/>
      <c r="AX15" s="8"/>
    </row>
    <row r="16" spans="2:50" ht="38.25" customHeight="1" x14ac:dyDescent="0.25">
      <c r="B16" s="113">
        <v>9</v>
      </c>
      <c r="C16" s="124" t="s">
        <v>88</v>
      </c>
      <c r="D16" s="108">
        <v>6</v>
      </c>
      <c r="E16" s="115" t="s">
        <v>34</v>
      </c>
      <c r="F16" s="116"/>
      <c r="G16" s="132">
        <v>14100000</v>
      </c>
      <c r="H16" s="132">
        <v>7000000</v>
      </c>
      <c r="I16" s="132">
        <f>AVERAGE(G16:H16)</f>
        <v>10550000</v>
      </c>
      <c r="J16" s="8"/>
      <c r="K16" s="8"/>
      <c r="L16" s="8"/>
      <c r="AW16" s="8"/>
      <c r="AX16" s="8"/>
    </row>
    <row r="17" spans="1:50" ht="60" x14ac:dyDescent="0.25">
      <c r="B17" s="113">
        <v>10</v>
      </c>
      <c r="C17" s="124" t="s">
        <v>95</v>
      </c>
      <c r="D17" s="108">
        <v>1</v>
      </c>
      <c r="E17" s="115" t="s">
        <v>27</v>
      </c>
      <c r="F17" s="116"/>
      <c r="G17" s="132">
        <f>G35</f>
        <v>85160324.849000007</v>
      </c>
      <c r="H17" s="132">
        <v>90000000</v>
      </c>
      <c r="I17" s="132">
        <f t="shared" ref="I17:I18" si="0">AVERAGE(G17:H17)</f>
        <v>87580162.424500003</v>
      </c>
      <c r="J17" s="8"/>
      <c r="K17" s="8"/>
      <c r="L17" s="8"/>
      <c r="AW17" s="8"/>
      <c r="AX17" s="8"/>
    </row>
    <row r="18" spans="1:50" ht="36" x14ac:dyDescent="0.25">
      <c r="B18" s="113">
        <v>11</v>
      </c>
      <c r="C18" s="124" t="s">
        <v>106</v>
      </c>
      <c r="D18" s="108">
        <v>1</v>
      </c>
      <c r="E18" s="115" t="s">
        <v>27</v>
      </c>
      <c r="F18" s="116"/>
      <c r="G18" s="132">
        <f>G35</f>
        <v>85160324.849000007</v>
      </c>
      <c r="H18" s="132">
        <v>60000000</v>
      </c>
      <c r="I18" s="132">
        <f t="shared" si="0"/>
        <v>72580162.424500003</v>
      </c>
      <c r="J18" s="8"/>
      <c r="K18" s="8"/>
      <c r="L18" s="8"/>
      <c r="AW18" s="8"/>
      <c r="AX18" s="8"/>
    </row>
    <row r="19" spans="1:50" ht="24" x14ac:dyDescent="0.25">
      <c r="B19" s="113">
        <v>12</v>
      </c>
      <c r="C19" s="114" t="s">
        <v>103</v>
      </c>
      <c r="D19" s="108">
        <v>1</v>
      </c>
      <c r="E19" s="115" t="s">
        <v>27</v>
      </c>
      <c r="F19" s="116"/>
      <c r="G19" s="132">
        <v>20000000</v>
      </c>
      <c r="H19" s="132">
        <v>15000000</v>
      </c>
      <c r="I19" s="132">
        <f>AVERAGE(G19:H19)</f>
        <v>17500000</v>
      </c>
      <c r="J19" s="8"/>
      <c r="K19" s="8"/>
      <c r="L19" s="8"/>
      <c r="AW19" s="8"/>
      <c r="AX19" s="8"/>
    </row>
    <row r="20" spans="1:50" s="8" customFormat="1" x14ac:dyDescent="0.25">
      <c r="G20" s="439">
        <f>SUM(G16:G19)</f>
        <v>204420649.69800001</v>
      </c>
      <c r="H20" s="439">
        <f>SUM(H16:H19)</f>
        <v>172000000</v>
      </c>
      <c r="I20" s="439">
        <f>SUM(I16:I19)</f>
        <v>188210324.84900001</v>
      </c>
    </row>
    <row r="21" spans="1:50" s="8" customFormat="1" x14ac:dyDescent="0.25"/>
    <row r="22" spans="1:50" s="8" customFormat="1" x14ac:dyDescent="0.25"/>
    <row r="23" spans="1:50" s="8" customFormat="1" x14ac:dyDescent="0.25">
      <c r="H23" s="298"/>
      <c r="I23" s="299"/>
    </row>
    <row r="24" spans="1:50" s="8" customFormat="1" x14ac:dyDescent="0.25"/>
    <row r="25" spans="1:50" s="8" customFormat="1" x14ac:dyDescent="0.25"/>
    <row r="26" spans="1:50" s="8" customFormat="1" x14ac:dyDescent="0.25"/>
    <row r="27" spans="1:50" s="8" customFormat="1" x14ac:dyDescent="0.25"/>
    <row r="28" spans="1:50" ht="23.25" thickBot="1" x14ac:dyDescent="0.3">
      <c r="B28" s="250" t="s">
        <v>201</v>
      </c>
      <c r="C28" s="250" t="s">
        <v>20</v>
      </c>
      <c r="D28" s="250" t="s">
        <v>21</v>
      </c>
      <c r="E28" s="250" t="s">
        <v>203</v>
      </c>
      <c r="F28" s="251">
        <v>2022</v>
      </c>
      <c r="G28" s="271" t="s">
        <v>195</v>
      </c>
      <c r="H28" s="8"/>
      <c r="I28" s="8"/>
      <c r="J28" s="8"/>
      <c r="K28" s="8"/>
      <c r="L28" s="8"/>
    </row>
    <row r="29" spans="1:50" x14ac:dyDescent="0.25">
      <c r="A29" s="8" t="s">
        <v>388</v>
      </c>
      <c r="B29" s="546" t="s">
        <v>202</v>
      </c>
      <c r="C29" s="253" t="s">
        <v>197</v>
      </c>
      <c r="D29" s="544">
        <v>2</v>
      </c>
      <c r="E29" s="551">
        <v>30000000</v>
      </c>
      <c r="F29" s="547">
        <v>0.13200000000000001</v>
      </c>
      <c r="G29" s="550">
        <f>$E29*(1+F29)</f>
        <v>33960000</v>
      </c>
      <c r="H29" s="8"/>
      <c r="I29" s="8"/>
      <c r="J29" s="8"/>
      <c r="K29" s="8"/>
      <c r="L29" s="8"/>
    </row>
    <row r="30" spans="1:50" x14ac:dyDescent="0.25">
      <c r="B30" s="546"/>
      <c r="C30" s="254" t="s">
        <v>198</v>
      </c>
      <c r="D30" s="545"/>
      <c r="E30" s="552"/>
      <c r="F30" s="548"/>
      <c r="G30" s="550"/>
      <c r="H30" s="8"/>
      <c r="I30" s="8"/>
      <c r="J30" s="8"/>
      <c r="K30" s="8"/>
      <c r="L30" s="8"/>
    </row>
    <row r="31" spans="1:50" ht="81" x14ac:dyDescent="0.25">
      <c r="B31" s="546"/>
      <c r="C31" s="254" t="s">
        <v>199</v>
      </c>
      <c r="D31" s="545"/>
      <c r="E31" s="553"/>
      <c r="F31" s="549"/>
      <c r="G31" s="550"/>
      <c r="H31" s="8"/>
      <c r="I31" s="8"/>
      <c r="J31" s="8"/>
      <c r="K31" s="8"/>
      <c r="L31" s="8"/>
    </row>
    <row r="32" spans="1:50" ht="94.5" x14ac:dyDescent="0.25">
      <c r="B32" s="546"/>
      <c r="C32" s="272" t="s">
        <v>200</v>
      </c>
      <c r="D32" s="273">
        <v>1</v>
      </c>
      <c r="E32" s="274">
        <v>40000000</v>
      </c>
      <c r="F32" s="255">
        <v>0.13200000000000001</v>
      </c>
      <c r="G32" s="270">
        <f>E32+1*(F32)</f>
        <v>40000000.131999999</v>
      </c>
      <c r="H32" s="8"/>
      <c r="I32" s="8"/>
      <c r="J32" s="8"/>
      <c r="K32" s="8"/>
      <c r="L32" s="8"/>
    </row>
    <row r="33" spans="1:8" s="8" customFormat="1" ht="40.5" x14ac:dyDescent="0.25">
      <c r="A33" s="8" t="s">
        <v>389</v>
      </c>
      <c r="B33" s="100" t="s">
        <v>232</v>
      </c>
      <c r="C33" s="272" t="s">
        <v>385</v>
      </c>
      <c r="D33" s="273">
        <v>1</v>
      </c>
      <c r="E33" s="274">
        <v>188244855</v>
      </c>
      <c r="F33" s="255">
        <v>0.13200000000000001</v>
      </c>
      <c r="G33" s="270">
        <f>E33+1*(F33)</f>
        <v>188244855.132</v>
      </c>
    </row>
    <row r="34" spans="1:8" s="8" customFormat="1" ht="94.5" x14ac:dyDescent="0.25">
      <c r="B34" s="100" t="s">
        <v>387</v>
      </c>
      <c r="C34" s="272" t="s">
        <v>386</v>
      </c>
      <c r="D34" s="273" t="s">
        <v>27</v>
      </c>
      <c r="E34" s="274">
        <v>78436444</v>
      </c>
      <c r="F34" s="255">
        <v>0.13200000000000001</v>
      </c>
      <c r="G34" s="270">
        <f>E34+1*(F34)</f>
        <v>78436444.131999999</v>
      </c>
    </row>
    <row r="35" spans="1:8" s="8" customFormat="1" x14ac:dyDescent="0.25">
      <c r="B35" s="100"/>
      <c r="C35" s="100"/>
      <c r="D35" s="100"/>
      <c r="E35" s="100"/>
      <c r="F35" s="100"/>
      <c r="G35" s="411">
        <f>AVERAGE(G29:G34)</f>
        <v>85160324.849000007</v>
      </c>
      <c r="H35" s="8" t="s">
        <v>134</v>
      </c>
    </row>
    <row r="36" spans="1:8" s="8" customFormat="1" x14ac:dyDescent="0.25">
      <c r="B36" s="100"/>
      <c r="C36" s="100"/>
      <c r="D36" s="100"/>
      <c r="E36" s="100"/>
      <c r="F36" s="100"/>
      <c r="G36" s="100"/>
    </row>
    <row r="37" spans="1:8" s="8" customFormat="1" x14ac:dyDescent="0.25">
      <c r="B37" s="100"/>
      <c r="C37" s="100"/>
      <c r="D37" s="100"/>
      <c r="E37" s="100"/>
      <c r="F37" s="100"/>
      <c r="G37" s="100"/>
    </row>
    <row r="38" spans="1:8" s="8" customFormat="1" x14ac:dyDescent="0.25"/>
    <row r="39" spans="1:8" s="8" customFormat="1" x14ac:dyDescent="0.25"/>
    <row r="40" spans="1:8" s="8" customFormat="1" x14ac:dyDescent="0.25"/>
    <row r="41" spans="1:8" s="8" customFormat="1" x14ac:dyDescent="0.25"/>
    <row r="42" spans="1:8" s="8" customFormat="1" x14ac:dyDescent="0.25"/>
    <row r="43" spans="1:8" s="8" customFormat="1" x14ac:dyDescent="0.25"/>
    <row r="44" spans="1:8" s="8" customFormat="1" x14ac:dyDescent="0.25"/>
    <row r="45" spans="1:8" s="8" customFormat="1" x14ac:dyDescent="0.25"/>
    <row r="46" spans="1:8" s="8" customFormat="1" x14ac:dyDescent="0.25"/>
    <row r="47" spans="1:8" s="8" customFormat="1" x14ac:dyDescent="0.25"/>
    <row r="48" spans="1:8" s="8" customFormat="1" x14ac:dyDescent="0.25"/>
    <row r="49" s="8" customFormat="1" x14ac:dyDescent="0.25"/>
    <row r="50" s="8" customFormat="1" x14ac:dyDescent="0.25"/>
    <row r="51" s="8" customFormat="1" x14ac:dyDescent="0.25"/>
    <row r="52" s="8" customFormat="1" x14ac:dyDescent="0.25"/>
    <row r="53" s="8" customFormat="1" x14ac:dyDescent="0.25"/>
    <row r="54" s="8" customFormat="1" x14ac:dyDescent="0.25"/>
    <row r="55" s="8" customFormat="1" x14ac:dyDescent="0.25"/>
    <row r="56" s="8" customFormat="1" x14ac:dyDescent="0.25"/>
    <row r="57" s="8" customFormat="1" x14ac:dyDescent="0.25"/>
    <row r="58" s="8" customFormat="1" x14ac:dyDescent="0.25"/>
    <row r="59" s="8" customFormat="1" x14ac:dyDescent="0.25"/>
    <row r="60" s="8" customFormat="1" x14ac:dyDescent="0.25"/>
    <row r="61" s="8" customFormat="1" x14ac:dyDescent="0.25"/>
    <row r="62" s="8" customFormat="1" x14ac:dyDescent="0.25"/>
    <row r="63" s="8" customFormat="1" x14ac:dyDescent="0.25"/>
    <row r="64" s="8" customFormat="1" x14ac:dyDescent="0.25"/>
    <row r="65" s="8" customFormat="1" x14ac:dyDescent="0.25"/>
    <row r="66" s="8" customFormat="1" x14ac:dyDescent="0.25"/>
    <row r="67" s="8" customFormat="1" x14ac:dyDescent="0.25"/>
    <row r="68" s="8" customFormat="1" x14ac:dyDescent="0.25"/>
    <row r="69" s="8" customFormat="1" x14ac:dyDescent="0.25"/>
    <row r="70" s="8" customFormat="1" x14ac:dyDescent="0.25"/>
    <row r="71" s="8" customFormat="1" x14ac:dyDescent="0.25"/>
    <row r="72" s="8" customFormat="1" x14ac:dyDescent="0.25"/>
    <row r="73" s="8" customFormat="1" x14ac:dyDescent="0.25"/>
    <row r="74" s="8" customFormat="1" x14ac:dyDescent="0.25"/>
    <row r="75" s="8" customFormat="1" x14ac:dyDescent="0.25"/>
    <row r="76" s="8" customFormat="1" x14ac:dyDescent="0.25"/>
    <row r="77" s="8" customFormat="1" x14ac:dyDescent="0.25"/>
    <row r="78" s="8" customFormat="1" x14ac:dyDescent="0.25"/>
    <row r="79" s="8" customFormat="1" x14ac:dyDescent="0.25"/>
    <row r="80" s="8" customFormat="1" x14ac:dyDescent="0.25"/>
    <row r="81" s="8" customFormat="1" x14ac:dyDescent="0.25"/>
    <row r="82" s="8" customFormat="1" x14ac:dyDescent="0.25"/>
    <row r="83" s="8" customFormat="1" x14ac:dyDescent="0.25"/>
    <row r="84" s="8" customFormat="1" x14ac:dyDescent="0.25"/>
    <row r="85" s="8" customFormat="1" x14ac:dyDescent="0.25"/>
    <row r="86" s="8" customFormat="1" x14ac:dyDescent="0.25"/>
    <row r="87" s="8" customFormat="1" x14ac:dyDescent="0.25"/>
    <row r="88" s="8" customFormat="1" x14ac:dyDescent="0.25"/>
    <row r="89" s="8" customFormat="1" x14ac:dyDescent="0.25"/>
    <row r="90" s="8" customFormat="1" x14ac:dyDescent="0.25"/>
    <row r="91" s="8" customFormat="1" x14ac:dyDescent="0.25"/>
    <row r="92" s="8" customFormat="1" x14ac:dyDescent="0.25"/>
    <row r="93" s="8" customFormat="1" x14ac:dyDescent="0.25"/>
    <row r="94" s="8" customFormat="1" x14ac:dyDescent="0.25"/>
    <row r="95" s="8" customFormat="1" x14ac:dyDescent="0.25"/>
    <row r="96" s="8" customFormat="1" x14ac:dyDescent="0.25"/>
    <row r="97" s="8" customFormat="1" x14ac:dyDescent="0.25"/>
    <row r="98" s="8" customFormat="1" x14ac:dyDescent="0.25"/>
    <row r="99" s="8" customFormat="1" x14ac:dyDescent="0.25"/>
    <row r="100" s="8" customFormat="1" x14ac:dyDescent="0.25"/>
    <row r="101" s="8" customFormat="1" x14ac:dyDescent="0.25"/>
    <row r="102" s="8" customFormat="1" x14ac:dyDescent="0.25"/>
    <row r="103" s="8" customFormat="1" x14ac:dyDescent="0.25"/>
    <row r="104" s="8" customFormat="1" x14ac:dyDescent="0.25"/>
    <row r="105" s="8" customFormat="1" x14ac:dyDescent="0.25"/>
    <row r="106" s="8" customFormat="1" x14ac:dyDescent="0.25"/>
    <row r="107" s="8" customFormat="1" x14ac:dyDescent="0.25"/>
    <row r="108" s="8" customFormat="1" x14ac:dyDescent="0.25"/>
    <row r="109" s="8" customFormat="1" x14ac:dyDescent="0.25"/>
    <row r="110" s="8" customFormat="1" x14ac:dyDescent="0.25"/>
    <row r="111" s="8" customFormat="1" x14ac:dyDescent="0.25"/>
    <row r="112" s="8" customFormat="1" x14ac:dyDescent="0.25"/>
    <row r="113" s="8" customFormat="1" x14ac:dyDescent="0.25"/>
    <row r="114" s="8" customFormat="1" x14ac:dyDescent="0.25"/>
    <row r="115" s="8" customFormat="1" x14ac:dyDescent="0.25"/>
    <row r="116" s="8" customFormat="1" x14ac:dyDescent="0.25"/>
    <row r="117" s="8" customFormat="1" x14ac:dyDescent="0.25"/>
    <row r="118" s="8" customFormat="1" x14ac:dyDescent="0.25"/>
    <row r="119" s="8" customFormat="1" x14ac:dyDescent="0.25"/>
    <row r="120" s="8" customFormat="1" x14ac:dyDescent="0.25"/>
    <row r="121" s="8" customFormat="1" x14ac:dyDescent="0.25"/>
    <row r="122" s="8" customFormat="1" x14ac:dyDescent="0.25"/>
    <row r="123" s="8" customFormat="1" x14ac:dyDescent="0.25"/>
    <row r="124" s="8" customFormat="1" x14ac:dyDescent="0.25"/>
    <row r="125" s="8" customFormat="1" x14ac:dyDescent="0.25"/>
    <row r="126" s="8" customFormat="1" x14ac:dyDescent="0.25"/>
    <row r="127" s="8" customFormat="1" x14ac:dyDescent="0.25"/>
    <row r="128" s="8" customFormat="1" x14ac:dyDescent="0.25"/>
    <row r="129" s="8" customFormat="1" x14ac:dyDescent="0.25"/>
    <row r="130" s="8" customFormat="1" x14ac:dyDescent="0.25"/>
    <row r="131" s="8" customFormat="1" x14ac:dyDescent="0.25"/>
    <row r="132" s="8" customFormat="1" x14ac:dyDescent="0.25"/>
    <row r="133" s="8" customFormat="1" x14ac:dyDescent="0.25"/>
    <row r="134" s="8" customFormat="1" x14ac:dyDescent="0.25"/>
    <row r="135" s="8" customFormat="1" x14ac:dyDescent="0.25"/>
    <row r="136" s="8" customFormat="1" x14ac:dyDescent="0.25"/>
    <row r="137" s="8" customFormat="1" x14ac:dyDescent="0.25"/>
    <row r="138" s="8" customFormat="1" x14ac:dyDescent="0.25"/>
    <row r="139" s="8" customFormat="1" x14ac:dyDescent="0.25"/>
    <row r="140" s="8" customFormat="1" x14ac:dyDescent="0.25"/>
    <row r="141" s="8" customFormat="1" x14ac:dyDescent="0.25"/>
    <row r="142" s="8" customFormat="1" x14ac:dyDescent="0.25"/>
    <row r="143" s="8" customFormat="1" x14ac:dyDescent="0.25"/>
    <row r="144" s="8" customFormat="1" x14ac:dyDescent="0.25"/>
    <row r="145" s="8" customFormat="1" x14ac:dyDescent="0.25"/>
    <row r="146" s="8" customFormat="1" x14ac:dyDescent="0.25"/>
    <row r="147" s="8" customFormat="1" x14ac:dyDescent="0.25"/>
    <row r="148" s="8" customFormat="1" x14ac:dyDescent="0.25"/>
    <row r="149" s="8" customFormat="1" x14ac:dyDescent="0.25"/>
    <row r="150" s="8" customFormat="1" x14ac:dyDescent="0.25"/>
    <row r="151" s="8" customFormat="1" x14ac:dyDescent="0.25"/>
    <row r="152" s="8" customFormat="1" x14ac:dyDescent="0.25"/>
    <row r="153" s="8" customFormat="1" x14ac:dyDescent="0.25"/>
    <row r="154" s="8" customFormat="1" x14ac:dyDescent="0.25"/>
    <row r="155" s="8" customFormat="1" x14ac:dyDescent="0.25"/>
    <row r="156" s="8" customFormat="1" x14ac:dyDescent="0.25"/>
    <row r="157" s="8" customFormat="1" x14ac:dyDescent="0.25"/>
    <row r="158" s="8" customFormat="1" x14ac:dyDescent="0.25"/>
    <row r="159" s="8" customFormat="1" x14ac:dyDescent="0.25"/>
    <row r="160" s="8" customFormat="1" x14ac:dyDescent="0.25"/>
    <row r="161" s="8" customFormat="1" x14ac:dyDescent="0.25"/>
    <row r="162" s="8" customFormat="1" x14ac:dyDescent="0.25"/>
    <row r="163" s="8" customFormat="1" x14ac:dyDescent="0.25"/>
    <row r="164" s="8" customFormat="1" x14ac:dyDescent="0.25"/>
    <row r="165" s="8" customFormat="1" x14ac:dyDescent="0.25"/>
    <row r="166" s="8" customFormat="1" x14ac:dyDescent="0.25"/>
    <row r="167" s="8" customFormat="1" x14ac:dyDescent="0.25"/>
    <row r="168" s="8" customFormat="1" x14ac:dyDescent="0.25"/>
    <row r="169" s="8" customFormat="1" x14ac:dyDescent="0.25"/>
    <row r="170" s="8" customFormat="1" x14ac:dyDescent="0.25"/>
    <row r="171" s="8" customFormat="1" x14ac:dyDescent="0.25"/>
    <row r="172" s="8" customFormat="1" x14ac:dyDescent="0.25"/>
    <row r="173" s="8" customFormat="1" x14ac:dyDescent="0.25"/>
    <row r="174" s="8" customFormat="1" x14ac:dyDescent="0.25"/>
    <row r="175" s="8" customFormat="1" x14ac:dyDescent="0.25"/>
    <row r="176" s="8" customFormat="1" x14ac:dyDescent="0.25"/>
    <row r="177" s="8" customFormat="1" x14ac:dyDescent="0.25"/>
    <row r="178" s="8" customFormat="1" x14ac:dyDescent="0.25"/>
    <row r="179" s="8" customFormat="1" x14ac:dyDescent="0.25"/>
    <row r="180" s="8" customFormat="1" x14ac:dyDescent="0.25"/>
    <row r="181" s="8" customFormat="1" x14ac:dyDescent="0.25"/>
    <row r="182" s="8" customFormat="1" x14ac:dyDescent="0.25"/>
    <row r="183" s="8" customFormat="1" x14ac:dyDescent="0.25"/>
    <row r="184" s="8" customFormat="1" x14ac:dyDescent="0.25"/>
    <row r="185" s="8" customFormat="1" x14ac:dyDescent="0.25"/>
    <row r="186" s="8" customFormat="1" x14ac:dyDescent="0.25"/>
    <row r="187" s="8" customFormat="1" x14ac:dyDescent="0.25"/>
    <row r="188" s="8" customFormat="1" x14ac:dyDescent="0.25"/>
    <row r="189" s="8" customFormat="1" x14ac:dyDescent="0.25"/>
    <row r="190" s="8" customFormat="1" x14ac:dyDescent="0.25"/>
    <row r="191" s="8" customFormat="1" x14ac:dyDescent="0.25"/>
    <row r="192" s="8" customFormat="1" x14ac:dyDescent="0.25"/>
    <row r="193" s="8" customFormat="1" x14ac:dyDescent="0.25"/>
    <row r="194" s="8" customFormat="1" x14ac:dyDescent="0.25"/>
    <row r="195" s="8" customFormat="1" x14ac:dyDescent="0.25"/>
    <row r="196" s="8" customFormat="1" x14ac:dyDescent="0.25"/>
    <row r="197" s="8" customFormat="1" x14ac:dyDescent="0.25"/>
    <row r="198" s="8" customFormat="1" x14ac:dyDescent="0.25"/>
    <row r="199" s="8" customFormat="1" x14ac:dyDescent="0.25"/>
    <row r="200" s="8" customFormat="1" x14ac:dyDescent="0.25"/>
    <row r="201" s="8" customFormat="1" x14ac:dyDescent="0.25"/>
    <row r="202" s="8" customFormat="1" x14ac:dyDescent="0.25"/>
    <row r="203" s="8" customFormat="1" x14ac:dyDescent="0.25"/>
    <row r="204" s="8" customFormat="1" x14ac:dyDescent="0.25"/>
    <row r="205" s="8" customFormat="1" x14ac:dyDescent="0.25"/>
    <row r="206" s="8" customFormat="1" x14ac:dyDescent="0.25"/>
    <row r="207" s="8" customFormat="1" x14ac:dyDescent="0.25"/>
    <row r="208" s="8" customFormat="1" x14ac:dyDescent="0.25"/>
    <row r="209" s="8" customFormat="1" x14ac:dyDescent="0.25"/>
    <row r="210" s="8" customFormat="1" x14ac:dyDescent="0.25"/>
    <row r="211" s="8" customFormat="1" x14ac:dyDescent="0.25"/>
    <row r="212" s="8" customFormat="1" x14ac:dyDescent="0.25"/>
    <row r="213" s="8" customFormat="1" x14ac:dyDescent="0.25"/>
    <row r="214" s="8" customFormat="1" x14ac:dyDescent="0.25"/>
    <row r="215" s="8" customFormat="1" x14ac:dyDescent="0.25"/>
    <row r="216" s="8" customFormat="1" x14ac:dyDescent="0.25"/>
    <row r="217" s="8" customFormat="1" x14ac:dyDescent="0.25"/>
    <row r="218" s="8" customFormat="1" x14ac:dyDescent="0.25"/>
    <row r="219" s="8" customFormat="1" x14ac:dyDescent="0.25"/>
    <row r="220" s="8" customFormat="1" x14ac:dyDescent="0.25"/>
    <row r="221" s="8" customFormat="1" x14ac:dyDescent="0.25"/>
    <row r="222" s="8" customFormat="1" x14ac:dyDescent="0.25"/>
    <row r="223" s="8" customFormat="1" x14ac:dyDescent="0.25"/>
    <row r="224" s="8" customFormat="1" x14ac:dyDescent="0.25"/>
    <row r="225" s="8" customFormat="1" x14ac:dyDescent="0.25"/>
    <row r="226" s="8" customFormat="1" x14ac:dyDescent="0.25"/>
    <row r="227" s="8" customFormat="1" x14ac:dyDescent="0.25"/>
    <row r="228" s="8" customFormat="1" x14ac:dyDescent="0.25"/>
    <row r="229" s="8" customFormat="1" x14ac:dyDescent="0.25"/>
    <row r="230" s="8" customFormat="1" x14ac:dyDescent="0.25"/>
    <row r="231" s="8" customFormat="1" x14ac:dyDescent="0.25"/>
    <row r="232" s="8" customFormat="1" x14ac:dyDescent="0.25"/>
    <row r="233" s="8" customFormat="1" x14ac:dyDescent="0.25"/>
    <row r="234" s="8" customFormat="1" x14ac:dyDescent="0.25"/>
    <row r="235" s="8" customFormat="1" x14ac:dyDescent="0.25"/>
    <row r="236" s="8" customFormat="1" x14ac:dyDescent="0.25"/>
    <row r="237" s="8" customFormat="1" x14ac:dyDescent="0.25"/>
    <row r="238" s="8" customFormat="1" x14ac:dyDescent="0.25"/>
    <row r="239" s="8" customFormat="1" x14ac:dyDescent="0.25"/>
    <row r="240" s="8" customFormat="1" x14ac:dyDescent="0.25"/>
    <row r="241" s="8" customFormat="1" x14ac:dyDescent="0.25"/>
    <row r="242" s="8" customFormat="1" x14ac:dyDescent="0.25"/>
    <row r="243" s="8" customFormat="1" x14ac:dyDescent="0.25"/>
    <row r="244" s="8" customFormat="1" x14ac:dyDescent="0.25"/>
    <row r="245" s="8" customFormat="1" x14ac:dyDescent="0.25"/>
    <row r="246" s="8" customFormat="1" x14ac:dyDescent="0.25"/>
    <row r="247" s="8" customFormat="1" x14ac:dyDescent="0.25"/>
    <row r="248" s="8" customFormat="1" x14ac:dyDescent="0.25"/>
    <row r="249" s="8" customFormat="1" x14ac:dyDescent="0.25"/>
    <row r="250" s="8" customFormat="1" x14ac:dyDescent="0.25"/>
    <row r="251" s="8" customFormat="1" x14ac:dyDescent="0.25"/>
    <row r="252" s="8" customFormat="1" x14ac:dyDescent="0.25"/>
    <row r="253" s="8" customFormat="1" x14ac:dyDescent="0.25"/>
    <row r="254" s="8" customFormat="1" x14ac:dyDescent="0.25"/>
    <row r="255" s="8" customFormat="1" x14ac:dyDescent="0.25"/>
    <row r="256" s="8" customFormat="1" x14ac:dyDescent="0.25"/>
    <row r="257" s="8" customFormat="1" x14ac:dyDescent="0.25"/>
    <row r="258" s="8" customFormat="1" x14ac:dyDescent="0.25"/>
    <row r="259" s="8" customFormat="1" x14ac:dyDescent="0.25"/>
    <row r="260" s="8" customFormat="1" x14ac:dyDescent="0.25"/>
    <row r="261" s="8" customFormat="1" x14ac:dyDescent="0.25"/>
    <row r="262" s="8" customFormat="1" x14ac:dyDescent="0.25"/>
    <row r="263" s="8" customFormat="1" x14ac:dyDescent="0.25"/>
    <row r="264" s="8" customFormat="1" x14ac:dyDescent="0.25"/>
    <row r="265" s="8" customFormat="1" x14ac:dyDescent="0.25"/>
    <row r="266" s="8" customFormat="1" x14ac:dyDescent="0.25"/>
    <row r="267" s="8" customFormat="1" x14ac:dyDescent="0.25"/>
    <row r="268" s="8" customFormat="1" x14ac:dyDescent="0.25"/>
    <row r="269" s="8" customFormat="1" x14ac:dyDescent="0.25"/>
    <row r="270" s="8" customFormat="1" x14ac:dyDescent="0.25"/>
    <row r="271" s="8" customFormat="1" x14ac:dyDescent="0.25"/>
    <row r="272" s="8" customFormat="1" x14ac:dyDescent="0.25"/>
    <row r="273" s="8" customFormat="1" x14ac:dyDescent="0.25"/>
    <row r="274" s="8" customFormat="1" x14ac:dyDescent="0.25"/>
    <row r="275" s="8" customFormat="1" x14ac:dyDescent="0.25"/>
    <row r="276" s="8" customFormat="1" x14ac:dyDescent="0.25"/>
    <row r="277" s="8" customFormat="1" x14ac:dyDescent="0.25"/>
    <row r="278" s="8" customFormat="1" x14ac:dyDescent="0.25"/>
    <row r="279" s="8" customFormat="1" x14ac:dyDescent="0.25"/>
    <row r="280" s="8" customFormat="1" x14ac:dyDescent="0.25"/>
    <row r="281" s="8" customFormat="1" x14ac:dyDescent="0.25"/>
    <row r="282" s="8" customFormat="1" x14ac:dyDescent="0.25"/>
    <row r="283" s="8" customFormat="1" x14ac:dyDescent="0.25"/>
    <row r="284" s="8" customFormat="1" x14ac:dyDescent="0.25"/>
    <row r="285" s="8" customFormat="1" x14ac:dyDescent="0.25"/>
    <row r="286" s="8" customFormat="1" x14ac:dyDescent="0.25"/>
    <row r="287" s="8" customFormat="1" x14ac:dyDescent="0.25"/>
    <row r="288" s="8" customFormat="1" x14ac:dyDescent="0.25"/>
    <row r="289" s="8" customFormat="1" x14ac:dyDescent="0.25"/>
    <row r="290" s="8" customFormat="1" x14ac:dyDescent="0.25"/>
    <row r="291" s="8" customFormat="1" x14ac:dyDescent="0.25"/>
    <row r="292" s="8" customFormat="1" x14ac:dyDescent="0.25"/>
    <row r="293" s="8" customFormat="1" x14ac:dyDescent="0.25"/>
    <row r="294" s="8" customFormat="1" x14ac:dyDescent="0.25"/>
    <row r="295" s="8" customFormat="1" x14ac:dyDescent="0.25"/>
    <row r="296" s="8" customFormat="1" x14ac:dyDescent="0.25"/>
    <row r="297" s="8" customFormat="1" x14ac:dyDescent="0.25"/>
    <row r="298" s="8" customFormat="1" x14ac:dyDescent="0.25"/>
    <row r="299" s="8" customFormat="1" x14ac:dyDescent="0.25"/>
    <row r="300" s="8" customFormat="1" x14ac:dyDescent="0.25"/>
    <row r="301" s="8" customFormat="1" x14ac:dyDescent="0.25"/>
    <row r="302" s="8" customFormat="1" x14ac:dyDescent="0.25"/>
    <row r="303" s="8" customFormat="1" x14ac:dyDescent="0.25"/>
    <row r="304" s="8" customFormat="1" x14ac:dyDescent="0.25"/>
    <row r="305" s="8" customFormat="1" x14ac:dyDescent="0.25"/>
    <row r="306" s="8" customFormat="1" x14ac:dyDescent="0.25"/>
    <row r="307" s="8" customFormat="1" x14ac:dyDescent="0.25"/>
    <row r="308" s="8" customFormat="1" x14ac:dyDescent="0.25"/>
    <row r="309" s="8" customFormat="1" x14ac:dyDescent="0.25"/>
    <row r="310" s="8" customFormat="1" x14ac:dyDescent="0.25"/>
    <row r="311" s="8" customFormat="1" x14ac:dyDescent="0.25"/>
    <row r="312" s="8" customFormat="1" x14ac:dyDescent="0.25"/>
    <row r="313" s="8" customFormat="1" x14ac:dyDescent="0.25"/>
    <row r="314" s="8" customFormat="1" x14ac:dyDescent="0.25"/>
    <row r="315" s="8" customFormat="1" x14ac:dyDescent="0.25"/>
    <row r="316" s="8" customFormat="1" x14ac:dyDescent="0.25"/>
    <row r="317" s="8" customFormat="1" x14ac:dyDescent="0.25"/>
    <row r="318" s="8" customFormat="1" x14ac:dyDescent="0.25"/>
    <row r="319" s="8" customFormat="1" x14ac:dyDescent="0.25"/>
    <row r="320" s="8" customFormat="1" x14ac:dyDescent="0.25"/>
    <row r="321" s="8" customFormat="1" x14ac:dyDescent="0.25"/>
    <row r="322" s="8" customFormat="1" x14ac:dyDescent="0.25"/>
    <row r="323" s="8" customFormat="1" x14ac:dyDescent="0.25"/>
    <row r="324" s="8" customFormat="1" x14ac:dyDescent="0.25"/>
    <row r="325" s="8" customFormat="1" x14ac:dyDescent="0.25"/>
    <row r="326" s="8" customFormat="1" x14ac:dyDescent="0.25"/>
    <row r="327" s="8" customFormat="1" x14ac:dyDescent="0.25"/>
    <row r="328" s="8" customFormat="1" x14ac:dyDescent="0.25"/>
    <row r="329" s="8" customFormat="1" x14ac:dyDescent="0.25"/>
    <row r="330" s="8" customFormat="1" x14ac:dyDescent="0.25"/>
    <row r="331" s="8" customFormat="1" x14ac:dyDescent="0.25"/>
    <row r="332" s="8" customFormat="1" x14ac:dyDescent="0.25"/>
    <row r="333" s="8" customFormat="1" x14ac:dyDescent="0.25"/>
    <row r="334" s="8" customFormat="1" x14ac:dyDescent="0.25"/>
    <row r="335" s="8" customFormat="1" x14ac:dyDescent="0.25"/>
    <row r="336" s="8" customFormat="1" x14ac:dyDescent="0.25"/>
    <row r="337" s="8" customFormat="1" x14ac:dyDescent="0.25"/>
    <row r="338" s="8" customFormat="1" x14ac:dyDescent="0.25"/>
    <row r="339" s="8" customFormat="1" x14ac:dyDescent="0.25"/>
    <row r="340" s="8" customFormat="1" x14ac:dyDescent="0.25"/>
    <row r="341" s="8" customFormat="1" x14ac:dyDescent="0.25"/>
    <row r="342" s="8" customFormat="1" x14ac:dyDescent="0.25"/>
    <row r="343" s="8" customFormat="1" x14ac:dyDescent="0.25"/>
    <row r="344" s="8" customFormat="1" x14ac:dyDescent="0.25"/>
    <row r="345" s="8" customFormat="1" x14ac:dyDescent="0.25"/>
    <row r="346" s="8" customFormat="1" x14ac:dyDescent="0.25"/>
    <row r="347" s="8" customFormat="1" x14ac:dyDescent="0.25"/>
    <row r="348" s="8" customFormat="1" x14ac:dyDescent="0.25"/>
    <row r="349" s="8" customFormat="1" x14ac:dyDescent="0.25"/>
    <row r="350" s="8" customFormat="1" x14ac:dyDescent="0.25"/>
    <row r="351" s="8" customFormat="1" x14ac:dyDescent="0.25"/>
    <row r="352" s="8" customFormat="1" x14ac:dyDescent="0.25"/>
    <row r="353" s="8" customFormat="1" x14ac:dyDescent="0.25"/>
    <row r="354" s="8" customFormat="1" x14ac:dyDescent="0.25"/>
    <row r="355" s="8" customFormat="1" x14ac:dyDescent="0.25"/>
    <row r="356" s="8" customFormat="1" x14ac:dyDescent="0.25"/>
    <row r="357" s="8" customFormat="1" x14ac:dyDescent="0.25"/>
    <row r="358" s="8" customFormat="1" x14ac:dyDescent="0.25"/>
    <row r="359" s="8" customFormat="1" x14ac:dyDescent="0.25"/>
    <row r="360" s="8" customFormat="1" x14ac:dyDescent="0.25"/>
    <row r="361" s="8" customFormat="1" x14ac:dyDescent="0.25"/>
    <row r="362" s="8" customFormat="1" x14ac:dyDescent="0.25"/>
    <row r="363" s="8" customFormat="1" x14ac:dyDescent="0.25"/>
    <row r="364" s="8" customFormat="1" x14ac:dyDescent="0.25"/>
    <row r="365" s="8" customFormat="1" x14ac:dyDescent="0.25"/>
    <row r="366" s="8" customFormat="1" x14ac:dyDescent="0.25"/>
    <row r="367" s="8" customFormat="1" x14ac:dyDescent="0.25"/>
    <row r="368" s="8" customFormat="1" x14ac:dyDescent="0.25"/>
    <row r="369" s="8" customFormat="1" x14ac:dyDescent="0.25"/>
    <row r="370" s="8" customFormat="1" x14ac:dyDescent="0.25"/>
    <row r="371" s="8" customFormat="1" x14ac:dyDescent="0.25"/>
    <row r="372" s="8" customFormat="1" x14ac:dyDescent="0.25"/>
    <row r="373" s="8" customFormat="1" x14ac:dyDescent="0.25"/>
    <row r="374" s="8" customFormat="1" x14ac:dyDescent="0.25"/>
    <row r="375" s="8" customFormat="1" x14ac:dyDescent="0.25"/>
    <row r="376" s="8" customFormat="1" x14ac:dyDescent="0.25"/>
    <row r="377" s="8" customFormat="1" x14ac:dyDescent="0.25"/>
    <row r="378" s="8" customFormat="1" x14ac:dyDescent="0.25"/>
    <row r="379" s="8" customFormat="1" x14ac:dyDescent="0.25"/>
    <row r="380" s="8" customFormat="1" x14ac:dyDescent="0.25"/>
    <row r="381" s="8" customFormat="1" x14ac:dyDescent="0.25"/>
    <row r="382" s="8" customFormat="1" x14ac:dyDescent="0.25"/>
    <row r="383" s="8" customFormat="1" x14ac:dyDescent="0.25"/>
    <row r="384" s="8" customFormat="1" x14ac:dyDescent="0.25"/>
    <row r="385" s="8" customFormat="1" x14ac:dyDescent="0.25"/>
    <row r="386" s="8" customFormat="1" x14ac:dyDescent="0.25"/>
    <row r="387" s="8" customFormat="1" x14ac:dyDescent="0.25"/>
    <row r="388" s="8" customFormat="1" x14ac:dyDescent="0.25"/>
    <row r="389" s="8" customFormat="1" x14ac:dyDescent="0.25"/>
    <row r="390" s="8" customFormat="1" x14ac:dyDescent="0.25"/>
    <row r="391" s="8" customFormat="1" x14ac:dyDescent="0.25"/>
    <row r="392" s="8" customFormat="1" x14ac:dyDescent="0.25"/>
    <row r="393" s="8" customFormat="1" x14ac:dyDescent="0.25"/>
    <row r="394" s="8" customFormat="1" x14ac:dyDescent="0.25"/>
    <row r="395" s="8" customFormat="1" x14ac:dyDescent="0.25"/>
    <row r="396" s="8" customFormat="1" x14ac:dyDescent="0.25"/>
    <row r="397" s="8" customFormat="1" x14ac:dyDescent="0.25"/>
    <row r="398" s="8" customFormat="1" x14ac:dyDescent="0.25"/>
    <row r="399" s="8" customFormat="1" x14ac:dyDescent="0.25"/>
    <row r="400" s="8" customFormat="1" x14ac:dyDescent="0.25"/>
    <row r="401" s="8" customFormat="1" x14ac:dyDescent="0.25"/>
    <row r="402" s="8" customFormat="1" x14ac:dyDescent="0.25"/>
    <row r="403" s="8" customFormat="1" x14ac:dyDescent="0.25"/>
    <row r="404" s="8" customFormat="1" x14ac:dyDescent="0.25"/>
    <row r="405" s="8" customFormat="1" x14ac:dyDescent="0.25"/>
    <row r="406" s="8" customFormat="1" x14ac:dyDescent="0.25"/>
    <row r="407" s="8" customFormat="1" x14ac:dyDescent="0.25"/>
    <row r="408" s="8" customFormat="1" x14ac:dyDescent="0.25"/>
    <row r="409" s="8" customFormat="1" x14ac:dyDescent="0.25"/>
    <row r="410" s="8" customFormat="1" x14ac:dyDescent="0.25"/>
    <row r="411" s="8" customFormat="1" x14ac:dyDescent="0.25"/>
    <row r="412" s="8" customFormat="1" x14ac:dyDescent="0.25"/>
    <row r="413" s="8" customFormat="1" x14ac:dyDescent="0.25"/>
    <row r="414" s="8" customFormat="1" x14ac:dyDescent="0.25"/>
    <row r="415" s="8" customFormat="1" x14ac:dyDescent="0.25"/>
    <row r="416" s="8" customFormat="1" x14ac:dyDescent="0.25"/>
    <row r="417" s="8" customFormat="1" x14ac:dyDescent="0.25"/>
    <row r="418" s="8" customFormat="1" x14ac:dyDescent="0.25"/>
    <row r="419" s="8" customFormat="1" x14ac:dyDescent="0.25"/>
    <row r="420" s="8" customFormat="1" x14ac:dyDescent="0.25"/>
    <row r="421" s="8" customFormat="1" x14ac:dyDescent="0.25"/>
    <row r="422" s="8" customFormat="1" x14ac:dyDescent="0.25"/>
    <row r="423" s="8" customFormat="1" x14ac:dyDescent="0.25"/>
    <row r="424" s="8" customFormat="1" x14ac:dyDescent="0.25"/>
    <row r="425" s="8" customFormat="1" x14ac:dyDescent="0.25"/>
    <row r="426" s="8" customFormat="1" x14ac:dyDescent="0.25"/>
    <row r="427" s="8" customFormat="1" x14ac:dyDescent="0.25"/>
    <row r="428" s="8" customFormat="1" x14ac:dyDescent="0.25"/>
    <row r="429" s="8" customFormat="1" x14ac:dyDescent="0.25"/>
    <row r="430" s="8" customFormat="1" x14ac:dyDescent="0.25"/>
    <row r="431" s="8" customFormat="1" x14ac:dyDescent="0.25"/>
    <row r="432" s="8" customFormat="1" x14ac:dyDescent="0.25"/>
    <row r="433" s="8" customFormat="1" x14ac:dyDescent="0.25"/>
    <row r="434" s="8" customFormat="1" x14ac:dyDescent="0.25"/>
    <row r="435" s="8" customFormat="1" x14ac:dyDescent="0.25"/>
    <row r="436" s="8" customFormat="1" x14ac:dyDescent="0.25"/>
    <row r="437" s="8" customFormat="1" x14ac:dyDescent="0.25"/>
    <row r="438" s="8" customFormat="1" x14ac:dyDescent="0.25"/>
    <row r="439" s="8" customFormat="1" x14ac:dyDescent="0.25"/>
    <row r="440" s="8" customFormat="1" x14ac:dyDescent="0.25"/>
    <row r="441" s="8" customFormat="1" x14ac:dyDescent="0.25"/>
    <row r="442" s="8" customFormat="1" x14ac:dyDescent="0.25"/>
    <row r="443" s="8" customFormat="1" x14ac:dyDescent="0.25"/>
    <row r="444" s="8" customFormat="1" x14ac:dyDescent="0.25"/>
    <row r="445" s="8" customFormat="1" x14ac:dyDescent="0.25"/>
    <row r="446" s="8" customFormat="1" x14ac:dyDescent="0.25"/>
    <row r="447" s="8" customFormat="1" x14ac:dyDescent="0.25"/>
    <row r="448" s="8" customFormat="1" x14ac:dyDescent="0.25"/>
    <row r="449" s="8" customFormat="1" x14ac:dyDescent="0.25"/>
    <row r="450" s="8" customFormat="1" x14ac:dyDescent="0.25"/>
    <row r="451" s="8" customFormat="1" x14ac:dyDescent="0.25"/>
    <row r="452" s="8" customFormat="1" x14ac:dyDescent="0.25"/>
    <row r="453" s="8" customFormat="1" x14ac:dyDescent="0.25"/>
    <row r="454" s="8" customFormat="1" x14ac:dyDescent="0.25"/>
    <row r="455" s="8" customFormat="1" x14ac:dyDescent="0.25"/>
    <row r="456" s="8" customFormat="1" x14ac:dyDescent="0.25"/>
    <row r="457" s="8" customFormat="1" x14ac:dyDescent="0.25"/>
    <row r="458" s="8" customFormat="1" x14ac:dyDescent="0.25"/>
    <row r="459" s="8" customFormat="1" x14ac:dyDescent="0.25"/>
    <row r="460" s="8" customFormat="1" x14ac:dyDescent="0.25"/>
    <row r="461" s="8" customFormat="1" x14ac:dyDescent="0.25"/>
    <row r="462" s="8" customFormat="1" x14ac:dyDescent="0.25"/>
    <row r="463" s="8" customFormat="1" x14ac:dyDescent="0.25"/>
    <row r="464" s="8" customFormat="1" x14ac:dyDescent="0.25"/>
    <row r="465" s="8" customFormat="1" x14ac:dyDescent="0.25"/>
    <row r="466" s="8" customFormat="1" x14ac:dyDescent="0.25"/>
    <row r="467" s="8" customFormat="1" x14ac:dyDescent="0.25"/>
    <row r="468" s="8" customFormat="1" x14ac:dyDescent="0.25"/>
    <row r="469" s="8" customFormat="1" x14ac:dyDescent="0.25"/>
    <row r="470" s="8" customFormat="1" x14ac:dyDescent="0.25"/>
    <row r="471" s="8" customFormat="1" x14ac:dyDescent="0.25"/>
    <row r="472" s="8" customFormat="1" x14ac:dyDescent="0.25"/>
    <row r="473" s="8" customFormat="1" x14ac:dyDescent="0.25"/>
    <row r="474" s="8" customFormat="1" x14ac:dyDescent="0.25"/>
    <row r="475" s="8" customFormat="1" x14ac:dyDescent="0.25"/>
    <row r="476" s="8" customFormat="1" x14ac:dyDescent="0.25"/>
    <row r="477" s="8" customFormat="1" x14ac:dyDescent="0.25"/>
    <row r="478" s="8" customFormat="1" x14ac:dyDescent="0.25"/>
    <row r="479" s="8" customFormat="1" x14ac:dyDescent="0.25"/>
    <row r="480" s="8" customFormat="1" x14ac:dyDescent="0.25"/>
    <row r="481" s="8" customFormat="1" x14ac:dyDescent="0.25"/>
    <row r="482" s="8" customFormat="1" x14ac:dyDescent="0.25"/>
    <row r="483" s="8" customFormat="1" x14ac:dyDescent="0.25"/>
    <row r="484" s="8" customFormat="1" x14ac:dyDescent="0.25"/>
    <row r="485" s="8" customFormat="1" x14ac:dyDescent="0.25"/>
    <row r="486" s="8" customFormat="1" x14ac:dyDescent="0.25"/>
    <row r="487" s="8" customFormat="1" x14ac:dyDescent="0.25"/>
    <row r="488" s="8" customFormat="1" x14ac:dyDescent="0.25"/>
    <row r="489" s="8" customFormat="1" x14ac:dyDescent="0.25"/>
    <row r="490" s="8" customFormat="1" x14ac:dyDescent="0.25"/>
    <row r="491" s="8" customFormat="1" x14ac:dyDescent="0.25"/>
    <row r="492" s="8" customFormat="1" x14ac:dyDescent="0.25"/>
    <row r="493" s="8" customFormat="1" x14ac:dyDescent="0.25"/>
    <row r="494" s="8" customFormat="1" x14ac:dyDescent="0.25"/>
    <row r="495" s="8" customFormat="1" x14ac:dyDescent="0.25"/>
    <row r="496" s="8" customFormat="1" x14ac:dyDescent="0.25"/>
    <row r="497" s="8" customFormat="1" x14ac:dyDescent="0.25"/>
    <row r="498" s="8" customFormat="1" x14ac:dyDescent="0.25"/>
    <row r="499" s="8" customFormat="1" x14ac:dyDescent="0.25"/>
    <row r="500" s="8" customFormat="1" x14ac:dyDescent="0.25"/>
    <row r="501" s="8" customFormat="1" x14ac:dyDescent="0.25"/>
    <row r="502" s="8" customFormat="1" x14ac:dyDescent="0.25"/>
    <row r="503" s="8" customFormat="1" x14ac:dyDescent="0.25"/>
    <row r="504" s="8" customFormat="1" x14ac:dyDescent="0.25"/>
    <row r="505" s="8" customFormat="1" x14ac:dyDescent="0.25"/>
    <row r="506" s="8" customFormat="1" x14ac:dyDescent="0.25"/>
    <row r="507" s="8" customFormat="1" x14ac:dyDescent="0.25"/>
    <row r="508" s="8" customFormat="1" x14ac:dyDescent="0.25"/>
    <row r="509" s="8" customFormat="1" x14ac:dyDescent="0.25"/>
    <row r="510" s="8" customFormat="1" x14ac:dyDescent="0.25"/>
    <row r="511" s="8" customFormat="1" x14ac:dyDescent="0.25"/>
    <row r="512" s="8" customFormat="1" x14ac:dyDescent="0.25"/>
    <row r="513" s="8" customFormat="1" x14ac:dyDescent="0.25"/>
    <row r="514" s="8" customFormat="1" x14ac:dyDescent="0.25"/>
    <row r="515" s="8" customFormat="1" x14ac:dyDescent="0.25"/>
    <row r="516" s="8" customFormat="1" x14ac:dyDescent="0.25"/>
    <row r="517" s="8" customFormat="1" x14ac:dyDescent="0.25"/>
    <row r="518" s="8" customFormat="1" x14ac:dyDescent="0.25"/>
    <row r="519" s="8" customFormat="1" x14ac:dyDescent="0.25"/>
    <row r="520" s="8" customFormat="1" x14ac:dyDescent="0.25"/>
    <row r="521" s="8" customFormat="1" x14ac:dyDescent="0.25"/>
    <row r="522" s="8" customFormat="1" x14ac:dyDescent="0.25"/>
    <row r="523" s="8" customFormat="1" x14ac:dyDescent="0.25"/>
    <row r="524" s="8" customFormat="1" x14ac:dyDescent="0.25"/>
    <row r="525" s="8" customFormat="1" x14ac:dyDescent="0.25"/>
    <row r="526" s="8" customFormat="1" x14ac:dyDescent="0.25"/>
    <row r="527" s="8" customFormat="1" x14ac:dyDescent="0.25"/>
    <row r="528" s="8" customFormat="1" x14ac:dyDescent="0.25"/>
    <row r="529" s="8" customFormat="1" x14ac:dyDescent="0.25"/>
    <row r="530" s="8" customFormat="1" x14ac:dyDescent="0.25"/>
    <row r="531" s="8" customFormat="1" x14ac:dyDescent="0.25"/>
    <row r="532" s="8" customFormat="1" x14ac:dyDescent="0.25"/>
    <row r="533" s="8" customFormat="1" x14ac:dyDescent="0.25"/>
    <row r="534" s="8" customFormat="1" x14ac:dyDescent="0.25"/>
    <row r="535" s="8" customFormat="1" x14ac:dyDescent="0.25"/>
    <row r="536" s="8" customFormat="1" x14ac:dyDescent="0.25"/>
    <row r="537" s="8" customFormat="1" x14ac:dyDescent="0.25"/>
    <row r="538" s="8" customFormat="1" x14ac:dyDescent="0.25"/>
    <row r="539" s="8" customFormat="1" x14ac:dyDescent="0.25"/>
    <row r="540" s="8" customFormat="1" x14ac:dyDescent="0.25"/>
    <row r="541" s="8" customFormat="1" x14ac:dyDescent="0.25"/>
    <row r="542" s="8" customFormat="1" x14ac:dyDescent="0.25"/>
    <row r="543" s="8" customFormat="1" x14ac:dyDescent="0.25"/>
    <row r="544" s="8" customFormat="1" x14ac:dyDescent="0.25"/>
    <row r="545" s="8" customFormat="1" x14ac:dyDescent="0.25"/>
    <row r="546" s="8" customFormat="1" x14ac:dyDescent="0.25"/>
    <row r="547" s="8" customFormat="1" x14ac:dyDescent="0.25"/>
    <row r="548" s="8" customFormat="1" x14ac:dyDescent="0.25"/>
    <row r="549" s="8" customFormat="1" x14ac:dyDescent="0.25"/>
    <row r="550" s="8" customFormat="1" x14ac:dyDescent="0.25"/>
    <row r="551" s="8" customFormat="1" x14ac:dyDescent="0.25"/>
    <row r="552" s="8" customFormat="1" x14ac:dyDescent="0.25"/>
    <row r="553" s="8" customFormat="1" x14ac:dyDescent="0.25"/>
    <row r="554" s="8" customFormat="1" x14ac:dyDescent="0.25"/>
    <row r="555" s="8" customFormat="1" x14ac:dyDescent="0.25"/>
    <row r="556" s="8" customFormat="1" x14ac:dyDescent="0.25"/>
    <row r="557" s="8" customFormat="1" x14ac:dyDescent="0.25"/>
    <row r="558" s="8" customFormat="1" x14ac:dyDescent="0.25"/>
    <row r="559" s="8" customFormat="1" x14ac:dyDescent="0.25"/>
    <row r="560" s="8" customFormat="1" x14ac:dyDescent="0.25"/>
    <row r="561" s="8" customFormat="1" x14ac:dyDescent="0.25"/>
    <row r="562" s="8" customFormat="1" x14ac:dyDescent="0.25"/>
    <row r="563" s="8" customFormat="1" x14ac:dyDescent="0.25"/>
    <row r="564" s="8" customFormat="1" x14ac:dyDescent="0.25"/>
    <row r="565" s="8" customFormat="1" x14ac:dyDescent="0.25"/>
    <row r="566" s="8" customFormat="1" x14ac:dyDescent="0.25"/>
    <row r="567" s="8" customFormat="1" x14ac:dyDescent="0.25"/>
    <row r="568" s="8" customFormat="1" x14ac:dyDescent="0.25"/>
    <row r="569" s="8" customFormat="1" x14ac:dyDescent="0.25"/>
    <row r="570" s="8" customFormat="1" x14ac:dyDescent="0.25"/>
    <row r="571" s="8" customFormat="1" x14ac:dyDescent="0.25"/>
    <row r="572" s="8" customFormat="1" x14ac:dyDescent="0.25"/>
    <row r="573" s="8" customFormat="1" x14ac:dyDescent="0.25"/>
    <row r="574" s="8" customFormat="1" x14ac:dyDescent="0.25"/>
    <row r="575" s="8" customFormat="1" x14ac:dyDescent="0.25"/>
    <row r="576" s="8" customFormat="1" x14ac:dyDescent="0.25"/>
    <row r="577" s="8" customFormat="1" x14ac:dyDescent="0.25"/>
    <row r="578" s="8" customFormat="1" x14ac:dyDescent="0.25"/>
    <row r="579" s="8" customFormat="1" x14ac:dyDescent="0.25"/>
    <row r="580" s="8" customFormat="1" x14ac:dyDescent="0.25"/>
    <row r="581" s="8" customFormat="1" x14ac:dyDescent="0.25"/>
    <row r="582" s="8" customFormat="1" x14ac:dyDescent="0.25"/>
    <row r="583" s="8" customFormat="1" x14ac:dyDescent="0.25"/>
    <row r="584" s="8" customFormat="1" x14ac:dyDescent="0.25"/>
    <row r="585" s="8" customFormat="1" x14ac:dyDescent="0.25"/>
    <row r="586" s="8" customFormat="1" x14ac:dyDescent="0.25"/>
    <row r="587" s="8" customFormat="1" x14ac:dyDescent="0.25"/>
    <row r="588" s="8" customFormat="1" x14ac:dyDescent="0.25"/>
    <row r="589" s="8" customFormat="1" x14ac:dyDescent="0.25"/>
    <row r="590" s="8" customFormat="1" x14ac:dyDescent="0.25"/>
    <row r="591" s="8" customFormat="1" x14ac:dyDescent="0.25"/>
    <row r="592" s="8" customFormat="1" x14ac:dyDescent="0.25"/>
    <row r="593" s="8" customFormat="1" x14ac:dyDescent="0.25"/>
    <row r="594" s="8" customFormat="1" x14ac:dyDescent="0.25"/>
    <row r="595" s="8" customFormat="1" x14ac:dyDescent="0.25"/>
    <row r="596" s="8" customFormat="1" x14ac:dyDescent="0.25"/>
    <row r="597" s="8" customFormat="1" x14ac:dyDescent="0.25"/>
    <row r="598" s="8" customFormat="1" x14ac:dyDescent="0.25"/>
    <row r="599" s="8" customFormat="1" x14ac:dyDescent="0.25"/>
    <row r="600" s="8" customFormat="1" x14ac:dyDescent="0.25"/>
    <row r="601" s="8" customFormat="1" x14ac:dyDescent="0.25"/>
    <row r="602" s="8" customFormat="1" x14ac:dyDescent="0.25"/>
    <row r="603" s="8" customFormat="1" x14ac:dyDescent="0.25"/>
    <row r="604" s="8" customFormat="1" x14ac:dyDescent="0.25"/>
    <row r="605" s="8" customFormat="1" x14ac:dyDescent="0.25"/>
    <row r="606" s="8" customFormat="1" x14ac:dyDescent="0.25"/>
    <row r="607" s="8" customFormat="1" x14ac:dyDescent="0.25"/>
    <row r="608" s="8" customFormat="1" x14ac:dyDescent="0.25"/>
    <row r="609" s="8" customFormat="1" x14ac:dyDescent="0.25"/>
    <row r="610" s="8" customFormat="1" x14ac:dyDescent="0.25"/>
    <row r="611" s="8" customFormat="1" x14ac:dyDescent="0.25"/>
    <row r="612" s="8" customFormat="1" x14ac:dyDescent="0.25"/>
    <row r="613" s="8" customFormat="1" x14ac:dyDescent="0.25"/>
    <row r="614" s="8" customFormat="1" x14ac:dyDescent="0.25"/>
    <row r="615" s="8" customFormat="1" x14ac:dyDescent="0.25"/>
    <row r="616" s="8" customFormat="1" x14ac:dyDescent="0.25"/>
    <row r="617" s="8" customFormat="1" x14ac:dyDescent="0.25"/>
    <row r="618" s="8" customFormat="1" x14ac:dyDescent="0.25"/>
    <row r="619" s="8" customFormat="1" x14ac:dyDescent="0.25"/>
    <row r="620" s="8" customFormat="1" x14ac:dyDescent="0.25"/>
    <row r="621" s="8" customFormat="1" x14ac:dyDescent="0.25"/>
    <row r="622" s="8" customFormat="1" x14ac:dyDescent="0.25"/>
    <row r="623" s="8" customFormat="1" x14ac:dyDescent="0.25"/>
    <row r="624" s="8" customFormat="1" x14ac:dyDescent="0.25"/>
    <row r="625" s="8" customFormat="1" x14ac:dyDescent="0.25"/>
    <row r="626" s="8" customFormat="1" x14ac:dyDescent="0.25"/>
    <row r="627" s="8" customFormat="1" x14ac:dyDescent="0.25"/>
    <row r="628" s="8" customFormat="1" x14ac:dyDescent="0.25"/>
    <row r="629" s="8" customFormat="1" x14ac:dyDescent="0.25"/>
    <row r="630" s="8" customFormat="1" x14ac:dyDescent="0.25"/>
    <row r="631" s="8" customFormat="1" x14ac:dyDescent="0.25"/>
    <row r="632" s="8" customFormat="1" x14ac:dyDescent="0.25"/>
    <row r="633" s="8" customFormat="1" x14ac:dyDescent="0.25"/>
    <row r="634" s="8" customFormat="1" x14ac:dyDescent="0.25"/>
    <row r="635" s="8" customFormat="1" x14ac:dyDescent="0.25"/>
    <row r="636" s="8" customFormat="1" x14ac:dyDescent="0.25"/>
    <row r="637" s="8" customFormat="1" x14ac:dyDescent="0.25"/>
    <row r="638" s="8" customFormat="1" x14ac:dyDescent="0.25"/>
    <row r="639" s="8" customFormat="1" x14ac:dyDescent="0.25"/>
    <row r="640" s="8" customFormat="1" x14ac:dyDescent="0.25"/>
    <row r="641" s="8" customFormat="1" x14ac:dyDescent="0.25"/>
    <row r="642" s="8" customFormat="1" x14ac:dyDescent="0.25"/>
    <row r="643" s="8" customFormat="1" x14ac:dyDescent="0.25"/>
    <row r="644" s="8" customFormat="1" x14ac:dyDescent="0.25"/>
    <row r="645" s="8" customFormat="1" x14ac:dyDescent="0.25"/>
    <row r="646" s="8" customFormat="1" x14ac:dyDescent="0.25"/>
    <row r="647" s="8" customFormat="1" x14ac:dyDescent="0.25"/>
    <row r="648" s="8" customFormat="1" x14ac:dyDescent="0.25"/>
    <row r="649" s="8" customFormat="1" x14ac:dyDescent="0.25"/>
    <row r="650" s="8" customFormat="1" x14ac:dyDescent="0.25"/>
    <row r="651" s="8" customFormat="1" x14ac:dyDescent="0.25"/>
    <row r="652" s="8" customFormat="1" x14ac:dyDescent="0.25"/>
    <row r="653" s="8" customFormat="1" x14ac:dyDescent="0.25"/>
    <row r="654" s="8" customFormat="1" x14ac:dyDescent="0.25"/>
    <row r="655" s="8" customFormat="1" x14ac:dyDescent="0.25"/>
    <row r="656" s="8" customFormat="1" x14ac:dyDescent="0.25"/>
    <row r="657" s="8" customFormat="1" x14ac:dyDescent="0.25"/>
    <row r="658" s="8" customFormat="1" x14ac:dyDescent="0.25"/>
    <row r="659" s="8" customFormat="1" x14ac:dyDescent="0.25"/>
    <row r="660" s="8" customFormat="1" x14ac:dyDescent="0.25"/>
    <row r="661" s="8" customFormat="1" x14ac:dyDescent="0.25"/>
    <row r="662" s="8" customFormat="1" x14ac:dyDescent="0.25"/>
    <row r="663" s="8" customFormat="1" x14ac:dyDescent="0.25"/>
    <row r="664" s="8" customFormat="1" x14ac:dyDescent="0.25"/>
    <row r="665" s="8" customFormat="1" x14ac:dyDescent="0.25"/>
    <row r="666" s="8" customFormat="1" x14ac:dyDescent="0.25"/>
    <row r="667" s="8" customFormat="1" x14ac:dyDescent="0.25"/>
    <row r="668" s="8" customFormat="1" x14ac:dyDescent="0.25"/>
    <row r="669" s="8" customFormat="1" x14ac:dyDescent="0.25"/>
    <row r="670" s="8" customFormat="1" x14ac:dyDescent="0.25"/>
    <row r="671" s="8" customFormat="1" x14ac:dyDescent="0.25"/>
    <row r="672" s="8" customFormat="1" x14ac:dyDescent="0.25"/>
    <row r="673" s="8" customFormat="1" x14ac:dyDescent="0.25"/>
    <row r="674" s="8" customFormat="1" x14ac:dyDescent="0.25"/>
    <row r="675" s="8" customFormat="1" x14ac:dyDescent="0.25"/>
    <row r="676" s="8" customFormat="1" x14ac:dyDescent="0.25"/>
    <row r="677" s="8" customFormat="1" x14ac:dyDescent="0.25"/>
    <row r="678" s="8" customFormat="1" x14ac:dyDescent="0.25"/>
    <row r="679" s="8" customFormat="1" x14ac:dyDescent="0.25"/>
    <row r="680" s="8" customFormat="1" x14ac:dyDescent="0.25"/>
    <row r="681" s="8" customFormat="1" x14ac:dyDescent="0.25"/>
    <row r="682" s="8" customFormat="1" x14ac:dyDescent="0.25"/>
    <row r="683" s="8" customFormat="1" x14ac:dyDescent="0.25"/>
    <row r="684" s="8" customFormat="1" x14ac:dyDescent="0.25"/>
    <row r="685" s="8" customFormat="1" x14ac:dyDescent="0.25"/>
  </sheetData>
  <mergeCells count="6">
    <mergeCell ref="B14:I14"/>
    <mergeCell ref="D29:D31"/>
    <mergeCell ref="B29:B32"/>
    <mergeCell ref="F29:F31"/>
    <mergeCell ref="G29:G31"/>
    <mergeCell ref="E29:E31"/>
  </mergeCells>
  <pageMargins left="0.7" right="0.7" top="0.75" bottom="0.75" header="0.3" footer="0.3"/>
  <pageSetup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DFF69-B530-4BEC-8AC3-70C056E99C95}">
  <dimension ref="A2:M123"/>
  <sheetViews>
    <sheetView topLeftCell="A95" workbookViewId="0">
      <selection activeCell="B11" sqref="B11"/>
    </sheetView>
  </sheetViews>
  <sheetFormatPr baseColWidth="10" defaultColWidth="11.42578125" defaultRowHeight="15" x14ac:dyDescent="0.25"/>
  <cols>
    <col min="1" max="1" width="29" style="347" customWidth="1"/>
    <col min="2" max="2" width="16.28515625" style="347" customWidth="1"/>
    <col min="3" max="3" width="12.85546875" style="347" customWidth="1"/>
    <col min="4" max="4" width="11.5703125" style="347" customWidth="1"/>
    <col min="5" max="5" width="12" style="347" customWidth="1"/>
    <col min="6" max="6" width="12.42578125" style="347" customWidth="1"/>
    <col min="7" max="7" width="12.85546875" style="347" customWidth="1"/>
    <col min="8" max="8" width="12.7109375" style="347" customWidth="1"/>
    <col min="9" max="9" width="13" style="347" customWidth="1"/>
    <col min="10" max="11" width="11.5703125" style="347" customWidth="1"/>
    <col min="12" max="16384" width="11.42578125" style="347"/>
  </cols>
  <sheetData>
    <row r="2" spans="1:11" ht="15.75" x14ac:dyDescent="0.25">
      <c r="A2" s="346" t="s">
        <v>366</v>
      </c>
    </row>
    <row r="3" spans="1:11" ht="15.75" x14ac:dyDescent="0.25">
      <c r="A3" s="346"/>
    </row>
    <row r="4" spans="1:11" x14ac:dyDescent="0.25">
      <c r="A4" s="348" t="s">
        <v>367</v>
      </c>
      <c r="B4" s="349"/>
      <c r="C4" s="349"/>
    </row>
    <row r="6" spans="1:11" x14ac:dyDescent="0.25">
      <c r="A6" s="587" t="s">
        <v>249</v>
      </c>
      <c r="B6" s="587" t="s">
        <v>250</v>
      </c>
      <c r="C6" s="587"/>
      <c r="D6" s="587"/>
      <c r="E6" s="587"/>
      <c r="F6" s="587"/>
      <c r="G6" s="587"/>
      <c r="H6" s="587"/>
      <c r="I6" s="587"/>
      <c r="J6" s="587"/>
      <c r="K6" s="587"/>
    </row>
    <row r="7" spans="1:11" x14ac:dyDescent="0.25">
      <c r="A7" s="587"/>
      <c r="B7" s="588" t="s">
        <v>251</v>
      </c>
      <c r="C7" s="588"/>
      <c r="D7" s="588" t="s">
        <v>252</v>
      </c>
      <c r="E7" s="588"/>
      <c r="F7" s="588" t="s">
        <v>253</v>
      </c>
      <c r="G7" s="588"/>
      <c r="H7" s="588" t="s">
        <v>254</v>
      </c>
      <c r="I7" s="588"/>
      <c r="J7" s="588" t="s">
        <v>255</v>
      </c>
      <c r="K7" s="588"/>
    </row>
    <row r="8" spans="1:11" x14ac:dyDescent="0.25">
      <c r="A8" s="587"/>
      <c r="B8" s="350" t="s">
        <v>256</v>
      </c>
      <c r="C8" s="350" t="s">
        <v>257</v>
      </c>
      <c r="D8" s="350" t="s">
        <v>256</v>
      </c>
      <c r="E8" s="350" t="s">
        <v>257</v>
      </c>
      <c r="F8" s="350" t="s">
        <v>256</v>
      </c>
      <c r="G8" s="350" t="s">
        <v>257</v>
      </c>
      <c r="H8" s="350" t="s">
        <v>256</v>
      </c>
      <c r="I8" s="350" t="s">
        <v>257</v>
      </c>
      <c r="J8" s="350" t="s">
        <v>256</v>
      </c>
      <c r="K8" s="350" t="s">
        <v>257</v>
      </c>
    </row>
    <row r="9" spans="1:11" ht="31.5" customHeight="1" x14ac:dyDescent="0.25">
      <c r="A9" s="351" t="s">
        <v>360</v>
      </c>
      <c r="B9" s="352">
        <v>1</v>
      </c>
      <c r="C9" s="352">
        <v>0</v>
      </c>
      <c r="D9" s="352">
        <v>1</v>
      </c>
      <c r="E9" s="352">
        <v>0</v>
      </c>
      <c r="F9" s="352">
        <v>1</v>
      </c>
      <c r="G9" s="352">
        <v>0</v>
      </c>
      <c r="H9" s="352">
        <v>1</v>
      </c>
      <c r="I9" s="352">
        <v>0</v>
      </c>
      <c r="J9" s="352">
        <v>1</v>
      </c>
      <c r="K9" s="352">
        <v>0</v>
      </c>
    </row>
    <row r="10" spans="1:11" ht="31.5" customHeight="1" x14ac:dyDescent="0.25">
      <c r="A10" s="351" t="s">
        <v>361</v>
      </c>
      <c r="B10" s="352">
        <v>1</v>
      </c>
      <c r="C10" s="352">
        <v>3</v>
      </c>
      <c r="D10" s="352">
        <v>1</v>
      </c>
      <c r="E10" s="352">
        <v>3</v>
      </c>
      <c r="F10" s="352">
        <v>1</v>
      </c>
      <c r="G10" s="352">
        <v>3</v>
      </c>
      <c r="H10" s="352">
        <v>1</v>
      </c>
      <c r="I10" s="352">
        <v>3</v>
      </c>
      <c r="J10" s="352">
        <v>1</v>
      </c>
      <c r="K10" s="352">
        <v>3</v>
      </c>
    </row>
    <row r="11" spans="1:11" ht="31.5" customHeight="1" x14ac:dyDescent="0.25">
      <c r="A11" s="351" t="s">
        <v>362</v>
      </c>
      <c r="B11" s="352">
        <v>1</v>
      </c>
      <c r="C11" s="352">
        <v>2</v>
      </c>
      <c r="D11" s="352">
        <v>1</v>
      </c>
      <c r="E11" s="352">
        <v>2</v>
      </c>
      <c r="F11" s="352">
        <v>1</v>
      </c>
      <c r="G11" s="352">
        <v>2</v>
      </c>
      <c r="H11" s="352">
        <v>1</v>
      </c>
      <c r="I11" s="352">
        <v>2</v>
      </c>
      <c r="J11" s="352">
        <v>1</v>
      </c>
      <c r="K11" s="352">
        <v>2</v>
      </c>
    </row>
    <row r="12" spans="1:11" ht="31.5" customHeight="1" x14ac:dyDescent="0.25">
      <c r="A12" s="351" t="s">
        <v>363</v>
      </c>
      <c r="B12" s="352">
        <v>1</v>
      </c>
      <c r="C12" s="352">
        <v>2</v>
      </c>
      <c r="D12" s="352">
        <v>1</v>
      </c>
      <c r="E12" s="352">
        <v>2</v>
      </c>
      <c r="F12" s="352">
        <v>1</v>
      </c>
      <c r="G12" s="352">
        <v>2</v>
      </c>
      <c r="H12" s="352">
        <v>1</v>
      </c>
      <c r="I12" s="352">
        <v>2</v>
      </c>
      <c r="J12" s="352">
        <v>1</v>
      </c>
      <c r="K12" s="352">
        <v>2</v>
      </c>
    </row>
    <row r="13" spans="1:11" ht="12" customHeight="1" x14ac:dyDescent="0.25">
      <c r="A13" s="353" t="s">
        <v>258</v>
      </c>
      <c r="B13" s="354">
        <v>4</v>
      </c>
      <c r="C13" s="354">
        <v>7</v>
      </c>
      <c r="D13" s="354">
        <v>4</v>
      </c>
      <c r="E13" s="354">
        <v>7</v>
      </c>
      <c r="F13" s="354">
        <v>4</v>
      </c>
      <c r="G13" s="354">
        <v>7</v>
      </c>
      <c r="H13" s="354">
        <v>4</v>
      </c>
      <c r="I13" s="354">
        <v>7</v>
      </c>
      <c r="J13" s="354">
        <v>4</v>
      </c>
      <c r="K13" s="354">
        <v>7</v>
      </c>
    </row>
    <row r="14" spans="1:11" ht="12" customHeight="1" x14ac:dyDescent="0.25">
      <c r="A14" s="353" t="s">
        <v>259</v>
      </c>
      <c r="B14" s="578">
        <v>20</v>
      </c>
      <c r="C14" s="578"/>
      <c r="D14" s="578"/>
      <c r="E14" s="578"/>
      <c r="F14" s="578"/>
      <c r="G14" s="578"/>
      <c r="H14" s="578"/>
      <c r="I14" s="578"/>
      <c r="J14" s="578"/>
      <c r="K14" s="578"/>
    </row>
    <row r="15" spans="1:11" ht="12" customHeight="1" x14ac:dyDescent="0.25">
      <c r="A15" s="353" t="s">
        <v>260</v>
      </c>
      <c r="B15" s="579">
        <v>35</v>
      </c>
      <c r="C15" s="579"/>
      <c r="D15" s="579"/>
      <c r="E15" s="579"/>
      <c r="F15" s="579"/>
      <c r="G15" s="579"/>
      <c r="H15" s="579"/>
      <c r="I15" s="579"/>
      <c r="J15" s="579"/>
      <c r="K15" s="579"/>
    </row>
    <row r="16" spans="1:11" ht="12" customHeight="1" x14ac:dyDescent="0.25">
      <c r="A16" s="353" t="s">
        <v>261</v>
      </c>
      <c r="B16" s="578">
        <v>55</v>
      </c>
      <c r="C16" s="578"/>
      <c r="D16" s="578"/>
      <c r="E16" s="578"/>
      <c r="F16" s="578"/>
      <c r="G16" s="578"/>
      <c r="H16" s="578"/>
      <c r="I16" s="578"/>
      <c r="J16" s="578"/>
      <c r="K16" s="578"/>
    </row>
    <row r="18" spans="1:11" x14ac:dyDescent="0.25">
      <c r="A18" s="355" t="s">
        <v>262</v>
      </c>
    </row>
    <row r="20" spans="1:11" ht="15" customHeight="1" x14ac:dyDescent="0.25">
      <c r="A20" s="580" t="s">
        <v>263</v>
      </c>
      <c r="B20" s="581" t="s">
        <v>264</v>
      </c>
      <c r="C20" s="581"/>
      <c r="D20" s="582" t="s">
        <v>265</v>
      </c>
      <c r="E20" s="582"/>
      <c r="F20" s="583" t="s">
        <v>266</v>
      </c>
      <c r="G20" s="583" t="s">
        <v>267</v>
      </c>
      <c r="H20" s="583" t="s">
        <v>267</v>
      </c>
      <c r="I20" s="583" t="s">
        <v>268</v>
      </c>
      <c r="J20" s="582" t="s">
        <v>151</v>
      </c>
      <c r="K20" s="582"/>
    </row>
    <row r="21" spans="1:11" ht="19.5" customHeight="1" x14ac:dyDescent="0.25">
      <c r="A21" s="580"/>
      <c r="B21" s="358" t="s">
        <v>269</v>
      </c>
      <c r="C21" s="358" t="s">
        <v>270</v>
      </c>
      <c r="D21" s="582"/>
      <c r="E21" s="582"/>
      <c r="F21" s="584"/>
      <c r="G21" s="584"/>
      <c r="H21" s="584"/>
      <c r="I21" s="584"/>
      <c r="J21" s="582"/>
      <c r="K21" s="582"/>
    </row>
    <row r="22" spans="1:11" x14ac:dyDescent="0.25">
      <c r="A22" s="580"/>
      <c r="B22" s="359">
        <v>800000</v>
      </c>
      <c r="C22" s="359">
        <v>600000</v>
      </c>
      <c r="D22" s="585">
        <f>SUM(B22:C22)</f>
        <v>1400000</v>
      </c>
      <c r="E22" s="585"/>
      <c r="F22" s="361">
        <v>35</v>
      </c>
      <c r="G22" s="362">
        <v>2</v>
      </c>
      <c r="H22" s="362">
        <f>+F22*G22</f>
        <v>70</v>
      </c>
      <c r="I22" s="362">
        <v>8</v>
      </c>
      <c r="J22" s="586">
        <f>(D22*F22*G22)+(I22*D22)</f>
        <v>109200000</v>
      </c>
      <c r="K22" s="586"/>
    </row>
    <row r="24" spans="1:11" x14ac:dyDescent="0.25">
      <c r="A24" s="355" t="s">
        <v>271</v>
      </c>
    </row>
    <row r="25" spans="1:11" ht="9" customHeight="1" x14ac:dyDescent="0.25"/>
    <row r="26" spans="1:11" x14ac:dyDescent="0.25">
      <c r="A26" s="363" t="s">
        <v>272</v>
      </c>
    </row>
    <row r="27" spans="1:11" ht="30" x14ac:dyDescent="0.25">
      <c r="A27" s="364" t="s">
        <v>273</v>
      </c>
      <c r="B27" s="356" t="s">
        <v>150</v>
      </c>
      <c r="C27" s="357" t="s">
        <v>274</v>
      </c>
      <c r="D27" s="356" t="s">
        <v>273</v>
      </c>
      <c r="E27" s="357" t="s">
        <v>136</v>
      </c>
      <c r="F27" s="357" t="s">
        <v>275</v>
      </c>
      <c r="G27" s="357" t="s">
        <v>136</v>
      </c>
      <c r="H27" s="357" t="s">
        <v>264</v>
      </c>
    </row>
    <row r="28" spans="1:11" x14ac:dyDescent="0.25">
      <c r="A28" s="365" t="s">
        <v>276</v>
      </c>
      <c r="B28" s="359">
        <v>98000</v>
      </c>
      <c r="C28" s="362">
        <v>1</v>
      </c>
      <c r="D28" s="362">
        <v>1</v>
      </c>
      <c r="E28" s="366">
        <f>+B28*C28*D28</f>
        <v>98000</v>
      </c>
      <c r="F28" s="362">
        <v>1</v>
      </c>
      <c r="G28" s="366">
        <f>+$B$22-E28</f>
        <v>702000</v>
      </c>
      <c r="H28" s="367">
        <f>+E28+G28</f>
        <v>800000</v>
      </c>
    </row>
    <row r="29" spans="1:11" x14ac:dyDescent="0.25">
      <c r="A29" s="365" t="s">
        <v>277</v>
      </c>
      <c r="B29" s="359">
        <v>98000</v>
      </c>
      <c r="C29" s="362">
        <v>1</v>
      </c>
      <c r="D29" s="362">
        <v>1</v>
      </c>
      <c r="E29" s="366">
        <f t="shared" ref="E29:E32" si="0">+B29*C29*D29</f>
        <v>98000</v>
      </c>
      <c r="F29" s="362">
        <v>1</v>
      </c>
      <c r="G29" s="366">
        <f t="shared" ref="G29:G32" si="1">+$B$22-E29</f>
        <v>702000</v>
      </c>
      <c r="H29" s="367">
        <f t="shared" ref="H29:H32" si="2">+E29+G29</f>
        <v>800000</v>
      </c>
    </row>
    <row r="30" spans="1:11" x14ac:dyDescent="0.25">
      <c r="A30" s="365" t="s">
        <v>278</v>
      </c>
      <c r="B30" s="359">
        <v>98000</v>
      </c>
      <c r="C30" s="362">
        <v>1</v>
      </c>
      <c r="D30" s="362">
        <v>1</v>
      </c>
      <c r="E30" s="366">
        <f t="shared" si="0"/>
        <v>98000</v>
      </c>
      <c r="F30" s="362">
        <v>1</v>
      </c>
      <c r="G30" s="366">
        <f t="shared" si="1"/>
        <v>702000</v>
      </c>
      <c r="H30" s="367">
        <f t="shared" si="2"/>
        <v>800000</v>
      </c>
    </row>
    <row r="31" spans="1:11" x14ac:dyDescent="0.25">
      <c r="A31" s="365" t="s">
        <v>279</v>
      </c>
      <c r="B31" s="359">
        <v>98000</v>
      </c>
      <c r="C31" s="362">
        <v>1</v>
      </c>
      <c r="D31" s="362">
        <v>1</v>
      </c>
      <c r="E31" s="366">
        <f t="shared" si="0"/>
        <v>98000</v>
      </c>
      <c r="F31" s="362">
        <v>1</v>
      </c>
      <c r="G31" s="366">
        <f t="shared" si="1"/>
        <v>702000</v>
      </c>
      <c r="H31" s="367">
        <f t="shared" si="2"/>
        <v>800000</v>
      </c>
    </row>
    <row r="32" spans="1:11" x14ac:dyDescent="0.25">
      <c r="A32" s="365" t="s">
        <v>280</v>
      </c>
      <c r="B32" s="359">
        <v>98000</v>
      </c>
      <c r="C32" s="362">
        <v>1</v>
      </c>
      <c r="D32" s="362">
        <v>1</v>
      </c>
      <c r="E32" s="366">
        <f t="shared" si="0"/>
        <v>98000</v>
      </c>
      <c r="F32" s="362">
        <v>1</v>
      </c>
      <c r="G32" s="366">
        <f t="shared" si="1"/>
        <v>702000</v>
      </c>
      <c r="H32" s="367">
        <f t="shared" si="2"/>
        <v>800000</v>
      </c>
    </row>
    <row r="34" spans="1:13" x14ac:dyDescent="0.25">
      <c r="A34" s="368" t="s">
        <v>281</v>
      </c>
    </row>
    <row r="35" spans="1:13" ht="30" x14ac:dyDescent="0.25">
      <c r="A35" s="364" t="s">
        <v>273</v>
      </c>
      <c r="B35" s="356" t="s">
        <v>150</v>
      </c>
      <c r="C35" s="356" t="s">
        <v>270</v>
      </c>
      <c r="D35" s="357" t="s">
        <v>274</v>
      </c>
      <c r="E35" s="356" t="s">
        <v>273</v>
      </c>
      <c r="F35" s="357" t="s">
        <v>264</v>
      </c>
    </row>
    <row r="36" spans="1:13" x14ac:dyDescent="0.25">
      <c r="A36" s="365" t="s">
        <v>276</v>
      </c>
      <c r="B36" s="359">
        <f>90000*2</f>
        <v>180000</v>
      </c>
      <c r="C36" s="360">
        <f>600000-B36</f>
        <v>420000</v>
      </c>
      <c r="D36" s="362">
        <v>1</v>
      </c>
      <c r="E36" s="362">
        <v>1</v>
      </c>
      <c r="F36" s="366">
        <f>+B36+C36</f>
        <v>600000</v>
      </c>
    </row>
    <row r="37" spans="1:13" x14ac:dyDescent="0.25">
      <c r="A37" s="365" t="s">
        <v>277</v>
      </c>
      <c r="B37" s="359">
        <f t="shared" ref="B37:B40" si="3">90000*2</f>
        <v>180000</v>
      </c>
      <c r="C37" s="360">
        <f t="shared" ref="C37:C40" si="4">600000-B37</f>
        <v>420000</v>
      </c>
      <c r="D37" s="362">
        <v>1</v>
      </c>
      <c r="E37" s="362">
        <v>1</v>
      </c>
      <c r="F37" s="366">
        <f t="shared" ref="F37:F40" si="5">+B37+C37</f>
        <v>600000</v>
      </c>
    </row>
    <row r="38" spans="1:13" x14ac:dyDescent="0.25">
      <c r="A38" s="365" t="s">
        <v>278</v>
      </c>
      <c r="B38" s="359">
        <f t="shared" si="3"/>
        <v>180000</v>
      </c>
      <c r="C38" s="360">
        <f t="shared" si="4"/>
        <v>420000</v>
      </c>
      <c r="D38" s="362">
        <v>1</v>
      </c>
      <c r="E38" s="362">
        <v>1</v>
      </c>
      <c r="F38" s="366">
        <f t="shared" si="5"/>
        <v>600000</v>
      </c>
    </row>
    <row r="39" spans="1:13" x14ac:dyDescent="0.25">
      <c r="A39" s="365" t="s">
        <v>279</v>
      </c>
      <c r="B39" s="359">
        <f t="shared" si="3"/>
        <v>180000</v>
      </c>
      <c r="C39" s="360">
        <f t="shared" si="4"/>
        <v>420000</v>
      </c>
      <c r="D39" s="362">
        <v>1</v>
      </c>
      <c r="E39" s="362">
        <v>1</v>
      </c>
      <c r="F39" s="366">
        <f t="shared" si="5"/>
        <v>600000</v>
      </c>
    </row>
    <row r="40" spans="1:13" x14ac:dyDescent="0.25">
      <c r="A40" s="365" t="s">
        <v>280</v>
      </c>
      <c r="B40" s="359">
        <f t="shared" si="3"/>
        <v>180000</v>
      </c>
      <c r="C40" s="360">
        <f t="shared" si="4"/>
        <v>420000</v>
      </c>
      <c r="D40" s="362">
        <v>1</v>
      </c>
      <c r="E40" s="362">
        <v>1</v>
      </c>
      <c r="F40" s="366">
        <f t="shared" si="5"/>
        <v>600000</v>
      </c>
    </row>
    <row r="42" spans="1:13" x14ac:dyDescent="0.25">
      <c r="A42" s="348" t="s">
        <v>282</v>
      </c>
      <c r="B42" s="349"/>
      <c r="C42" s="349"/>
    </row>
    <row r="43" spans="1:13" x14ac:dyDescent="0.25">
      <c r="A43" s="355"/>
    </row>
    <row r="44" spans="1:13" x14ac:dyDescent="0.25">
      <c r="A44" s="355" t="s">
        <v>283</v>
      </c>
    </row>
    <row r="45" spans="1:13" x14ac:dyDescent="0.25">
      <c r="A45" s="355"/>
    </row>
    <row r="46" spans="1:13" x14ac:dyDescent="0.25">
      <c r="A46" s="572" t="s">
        <v>126</v>
      </c>
      <c r="B46" s="572" t="s">
        <v>127</v>
      </c>
      <c r="C46" s="572" t="s">
        <v>284</v>
      </c>
      <c r="D46" s="574" t="s">
        <v>128</v>
      </c>
      <c r="E46" s="369" t="s">
        <v>285</v>
      </c>
      <c r="F46" s="369" t="s">
        <v>286</v>
      </c>
      <c r="G46" s="369" t="s">
        <v>287</v>
      </c>
      <c r="H46" s="369" t="s">
        <v>288</v>
      </c>
      <c r="I46" s="576" t="s">
        <v>153</v>
      </c>
      <c r="J46" s="566" t="s">
        <v>289</v>
      </c>
      <c r="K46" s="566"/>
      <c r="L46" s="566"/>
      <c r="M46" s="566"/>
    </row>
    <row r="47" spans="1:13" x14ac:dyDescent="0.25">
      <c r="A47" s="573"/>
      <c r="B47" s="573"/>
      <c r="C47" s="573"/>
      <c r="D47" s="575"/>
      <c r="E47" s="370" t="s">
        <v>284</v>
      </c>
      <c r="F47" s="370" t="s">
        <v>284</v>
      </c>
      <c r="G47" s="370" t="s">
        <v>284</v>
      </c>
      <c r="H47" s="370" t="s">
        <v>284</v>
      </c>
      <c r="I47" s="577"/>
      <c r="J47" s="566"/>
      <c r="K47" s="566"/>
      <c r="L47" s="566"/>
      <c r="M47" s="566"/>
    </row>
    <row r="48" spans="1:13" ht="69.75" customHeight="1" x14ac:dyDescent="0.25">
      <c r="A48" s="371" t="s">
        <v>290</v>
      </c>
      <c r="B48" s="372">
        <v>2</v>
      </c>
      <c r="C48" s="372" t="s">
        <v>291</v>
      </c>
      <c r="D48" s="372" t="s">
        <v>28</v>
      </c>
      <c r="E48" s="373">
        <v>1000000</v>
      </c>
      <c r="F48" s="373">
        <v>1500000</v>
      </c>
      <c r="G48" s="373">
        <v>2000000</v>
      </c>
      <c r="H48" s="373">
        <v>4000000</v>
      </c>
      <c r="I48" s="373">
        <v>2125000</v>
      </c>
      <c r="J48" s="568" t="s">
        <v>292</v>
      </c>
      <c r="K48" s="569"/>
      <c r="L48" s="569"/>
      <c r="M48" s="570"/>
    </row>
    <row r="49" spans="1:13" ht="23.25" customHeight="1" x14ac:dyDescent="0.25">
      <c r="A49" s="374"/>
      <c r="B49" s="375"/>
      <c r="C49" s="375"/>
      <c r="D49" s="375"/>
      <c r="E49" s="376"/>
      <c r="F49" s="376"/>
      <c r="G49" s="376"/>
      <c r="H49" s="376"/>
      <c r="I49" s="376"/>
      <c r="J49" s="377"/>
      <c r="K49" s="377"/>
      <c r="L49" s="377"/>
      <c r="M49" s="377"/>
    </row>
    <row r="50" spans="1:13" ht="26.25" customHeight="1" x14ac:dyDescent="0.25">
      <c r="A50" s="571" t="s">
        <v>293</v>
      </c>
      <c r="B50" s="571" t="s">
        <v>294</v>
      </c>
      <c r="C50" s="571" t="s">
        <v>151</v>
      </c>
      <c r="D50" s="376"/>
      <c r="E50" s="376"/>
      <c r="F50" s="376"/>
      <c r="G50" s="376"/>
      <c r="H50" s="376"/>
      <c r="I50" s="376"/>
      <c r="J50" s="377"/>
      <c r="K50" s="377"/>
      <c r="L50" s="377"/>
      <c r="M50" s="377"/>
    </row>
    <row r="51" spans="1:13" ht="26.25" customHeight="1" x14ac:dyDescent="0.25">
      <c r="A51" s="571"/>
      <c r="B51" s="571"/>
      <c r="C51" s="571"/>
      <c r="D51" s="376"/>
      <c r="E51" s="376"/>
      <c r="F51" s="376"/>
      <c r="G51" s="376"/>
      <c r="H51" s="376"/>
      <c r="I51" s="376"/>
      <c r="J51" s="377"/>
      <c r="K51" s="377"/>
      <c r="L51" s="377"/>
      <c r="M51" s="377"/>
    </row>
    <row r="52" spans="1:13" ht="26.25" customHeight="1" x14ac:dyDescent="0.25">
      <c r="A52" s="379">
        <v>2000000</v>
      </c>
      <c r="B52" s="380">
        <v>55</v>
      </c>
      <c r="C52" s="381">
        <v>110000000</v>
      </c>
      <c r="D52" s="376"/>
      <c r="E52" s="376"/>
      <c r="F52" s="376"/>
      <c r="G52" s="376"/>
      <c r="H52" s="376"/>
      <c r="I52" s="376"/>
      <c r="J52" s="377"/>
      <c r="K52" s="377"/>
      <c r="L52" s="377"/>
      <c r="M52" s="377"/>
    </row>
    <row r="53" spans="1:13" ht="12.75" customHeight="1" x14ac:dyDescent="0.25">
      <c r="A53" s="374"/>
      <c r="B53" s="375"/>
      <c r="C53" s="375"/>
      <c r="D53" s="375"/>
      <c r="E53" s="376"/>
      <c r="F53" s="376"/>
      <c r="G53" s="376"/>
      <c r="H53" s="376"/>
      <c r="I53" s="376"/>
    </row>
    <row r="54" spans="1:13" ht="13.5" customHeight="1" x14ac:dyDescent="0.25">
      <c r="A54" s="355" t="s">
        <v>295</v>
      </c>
      <c r="B54" s="375"/>
      <c r="C54" s="375"/>
      <c r="D54" s="375"/>
      <c r="E54" s="376"/>
      <c r="F54" s="376"/>
      <c r="G54" s="376"/>
      <c r="H54" s="376"/>
      <c r="I54" s="376"/>
    </row>
    <row r="55" spans="1:13" ht="13.5" customHeight="1" x14ac:dyDescent="0.25">
      <c r="A55" s="374"/>
      <c r="B55" s="375"/>
      <c r="C55" s="375"/>
      <c r="D55" s="375"/>
      <c r="E55" s="376"/>
      <c r="F55" s="376"/>
      <c r="G55" s="376"/>
      <c r="H55" s="376"/>
      <c r="I55" s="376"/>
    </row>
    <row r="56" spans="1:13" x14ac:dyDescent="0.25">
      <c r="A56" s="363" t="s">
        <v>296</v>
      </c>
    </row>
    <row r="57" spans="1:13" x14ac:dyDescent="0.25">
      <c r="A57" s="364" t="s">
        <v>297</v>
      </c>
      <c r="B57" s="356" t="s">
        <v>150</v>
      </c>
      <c r="C57" s="357" t="s">
        <v>127</v>
      </c>
      <c r="D57" s="356" t="s">
        <v>273</v>
      </c>
      <c r="E57" s="357" t="s">
        <v>136</v>
      </c>
    </row>
    <row r="58" spans="1:13" x14ac:dyDescent="0.25">
      <c r="A58" s="365" t="s">
        <v>276</v>
      </c>
      <c r="B58" s="359">
        <v>280000</v>
      </c>
      <c r="C58" s="362">
        <v>1</v>
      </c>
      <c r="D58" s="362">
        <v>1</v>
      </c>
      <c r="E58" s="359">
        <f>+B58*C58*D58</f>
        <v>280000</v>
      </c>
    </row>
    <row r="59" spans="1:13" x14ac:dyDescent="0.25">
      <c r="A59" s="365" t="s">
        <v>277</v>
      </c>
      <c r="B59" s="359">
        <v>280000</v>
      </c>
      <c r="C59" s="362">
        <v>1</v>
      </c>
      <c r="D59" s="362">
        <v>1</v>
      </c>
      <c r="E59" s="359">
        <f t="shared" ref="E59:E62" si="6">+B59*C59*D59</f>
        <v>280000</v>
      </c>
    </row>
    <row r="60" spans="1:13" x14ac:dyDescent="0.25">
      <c r="A60" s="365" t="s">
        <v>278</v>
      </c>
      <c r="B60" s="359">
        <v>280000</v>
      </c>
      <c r="C60" s="362">
        <v>1</v>
      </c>
      <c r="D60" s="362">
        <v>1</v>
      </c>
      <c r="E60" s="359">
        <f t="shared" si="6"/>
        <v>280000</v>
      </c>
    </row>
    <row r="61" spans="1:13" x14ac:dyDescent="0.25">
      <c r="A61" s="365" t="s">
        <v>279</v>
      </c>
      <c r="B61" s="359">
        <v>280000</v>
      </c>
      <c r="C61" s="362">
        <v>1</v>
      </c>
      <c r="D61" s="362">
        <v>1</v>
      </c>
      <c r="E61" s="359">
        <f t="shared" si="6"/>
        <v>280000</v>
      </c>
    </row>
    <row r="62" spans="1:13" x14ac:dyDescent="0.25">
      <c r="A62" s="365" t="s">
        <v>280</v>
      </c>
      <c r="B62" s="359">
        <v>280000</v>
      </c>
      <c r="C62" s="362">
        <v>1</v>
      </c>
      <c r="D62" s="362">
        <v>1</v>
      </c>
      <c r="E62" s="359">
        <f t="shared" si="6"/>
        <v>280000</v>
      </c>
    </row>
    <row r="64" spans="1:13" x14ac:dyDescent="0.25">
      <c r="A64" s="363" t="s">
        <v>298</v>
      </c>
    </row>
    <row r="65" spans="1:11" x14ac:dyDescent="0.25">
      <c r="A65" s="364" t="s">
        <v>297</v>
      </c>
      <c r="B65" s="356" t="s">
        <v>150</v>
      </c>
      <c r="C65" s="357" t="s">
        <v>127</v>
      </c>
      <c r="D65" s="356" t="s">
        <v>273</v>
      </c>
      <c r="E65" s="357" t="s">
        <v>136</v>
      </c>
    </row>
    <row r="66" spans="1:11" ht="16.5" customHeight="1" x14ac:dyDescent="0.25">
      <c r="A66" s="365" t="s">
        <v>276</v>
      </c>
      <c r="B66" s="359">
        <v>650000</v>
      </c>
      <c r="C66" s="362">
        <v>1</v>
      </c>
      <c r="D66" s="362">
        <v>1</v>
      </c>
      <c r="E66" s="359">
        <f>+B66*C66*D66</f>
        <v>650000</v>
      </c>
      <c r="H66" s="564" t="s">
        <v>265</v>
      </c>
      <c r="I66" s="565">
        <f>+E69+E74+E82+E60</f>
        <v>2200000</v>
      </c>
    </row>
    <row r="67" spans="1:11" x14ac:dyDescent="0.25">
      <c r="A67" s="365" t="s">
        <v>277</v>
      </c>
      <c r="B67" s="359">
        <v>650000</v>
      </c>
      <c r="C67" s="362">
        <v>1</v>
      </c>
      <c r="D67" s="362">
        <v>1</v>
      </c>
      <c r="E67" s="359">
        <f t="shared" ref="E67:E70" si="7">+B67*C67*D67</f>
        <v>650000</v>
      </c>
      <c r="H67" s="560"/>
      <c r="I67" s="565"/>
    </row>
    <row r="68" spans="1:11" x14ac:dyDescent="0.25">
      <c r="A68" s="365" t="s">
        <v>278</v>
      </c>
      <c r="B68" s="359">
        <v>650000</v>
      </c>
      <c r="C68" s="362">
        <v>1</v>
      </c>
      <c r="D68" s="362">
        <v>1</v>
      </c>
      <c r="E68" s="359">
        <f t="shared" si="7"/>
        <v>650000</v>
      </c>
    </row>
    <row r="69" spans="1:11" x14ac:dyDescent="0.25">
      <c r="A69" s="365" t="s">
        <v>279</v>
      </c>
      <c r="B69" s="359">
        <v>650000</v>
      </c>
      <c r="C69" s="362">
        <v>1</v>
      </c>
      <c r="D69" s="362">
        <v>1</v>
      </c>
      <c r="E69" s="359">
        <f t="shared" si="7"/>
        <v>650000</v>
      </c>
      <c r="H69" s="566" t="s">
        <v>289</v>
      </c>
      <c r="I69" s="566"/>
      <c r="J69" s="566"/>
      <c r="K69" s="566"/>
    </row>
    <row r="70" spans="1:11" x14ac:dyDescent="0.25">
      <c r="A70" s="365" t="s">
        <v>280</v>
      </c>
      <c r="B70" s="359">
        <v>650000</v>
      </c>
      <c r="C70" s="362">
        <v>1</v>
      </c>
      <c r="D70" s="362">
        <v>1</v>
      </c>
      <c r="E70" s="359">
        <f t="shared" si="7"/>
        <v>650000</v>
      </c>
      <c r="G70" s="382"/>
      <c r="H70" s="566"/>
      <c r="I70" s="566"/>
      <c r="J70" s="566"/>
      <c r="K70" s="566"/>
    </row>
    <row r="71" spans="1:11" ht="15" customHeight="1" x14ac:dyDescent="0.25">
      <c r="G71" s="382"/>
      <c r="H71" s="567" t="s">
        <v>299</v>
      </c>
      <c r="I71" s="567"/>
      <c r="J71" s="567"/>
      <c r="K71" s="567"/>
    </row>
    <row r="72" spans="1:11" x14ac:dyDescent="0.25">
      <c r="A72" s="368" t="s">
        <v>300</v>
      </c>
      <c r="H72" s="567"/>
      <c r="I72" s="567"/>
      <c r="J72" s="567"/>
      <c r="K72" s="567"/>
    </row>
    <row r="73" spans="1:11" ht="30" x14ac:dyDescent="0.25">
      <c r="A73" s="364" t="s">
        <v>273</v>
      </c>
      <c r="B73" s="356" t="s">
        <v>150</v>
      </c>
      <c r="C73" s="357" t="s">
        <v>274</v>
      </c>
      <c r="D73" s="356" t="s">
        <v>273</v>
      </c>
      <c r="E73" s="357" t="s">
        <v>264</v>
      </c>
      <c r="H73" s="567"/>
      <c r="I73" s="567"/>
      <c r="J73" s="567"/>
      <c r="K73" s="567"/>
    </row>
    <row r="74" spans="1:11" x14ac:dyDescent="0.25">
      <c r="A74" s="365" t="s">
        <v>276</v>
      </c>
      <c r="B74" s="359">
        <v>18000</v>
      </c>
      <c r="C74" s="362">
        <v>40</v>
      </c>
      <c r="D74" s="362">
        <v>1</v>
      </c>
      <c r="E74" s="359">
        <f>+B74*C74</f>
        <v>720000</v>
      </c>
      <c r="H74" s="567"/>
      <c r="I74" s="567"/>
      <c r="J74" s="567"/>
      <c r="K74" s="567"/>
    </row>
    <row r="75" spans="1:11" x14ac:dyDescent="0.25">
      <c r="A75" s="365" t="s">
        <v>277</v>
      </c>
      <c r="B75" s="359">
        <v>18000</v>
      </c>
      <c r="C75" s="362">
        <v>40</v>
      </c>
      <c r="D75" s="362">
        <v>1</v>
      </c>
      <c r="E75" s="359">
        <f t="shared" ref="E75:E78" si="8">+B75*C75</f>
        <v>720000</v>
      </c>
      <c r="H75" s="567"/>
      <c r="I75" s="567"/>
      <c r="J75" s="567"/>
      <c r="K75" s="567"/>
    </row>
    <row r="76" spans="1:11" x14ac:dyDescent="0.25">
      <c r="A76" s="365" t="s">
        <v>278</v>
      </c>
      <c r="B76" s="359">
        <v>18000</v>
      </c>
      <c r="C76" s="362">
        <v>40</v>
      </c>
      <c r="D76" s="362">
        <v>1</v>
      </c>
      <c r="E76" s="359">
        <f t="shared" si="8"/>
        <v>720000</v>
      </c>
      <c r="H76" s="567"/>
      <c r="I76" s="567"/>
      <c r="J76" s="567"/>
      <c r="K76" s="567"/>
    </row>
    <row r="77" spans="1:11" x14ac:dyDescent="0.25">
      <c r="A77" s="365" t="s">
        <v>279</v>
      </c>
      <c r="B77" s="359">
        <v>18000</v>
      </c>
      <c r="C77" s="362">
        <v>40</v>
      </c>
      <c r="D77" s="362">
        <v>1</v>
      </c>
      <c r="E77" s="359">
        <f t="shared" si="8"/>
        <v>720000</v>
      </c>
    </row>
    <row r="78" spans="1:11" x14ac:dyDescent="0.25">
      <c r="A78" s="365" t="s">
        <v>280</v>
      </c>
      <c r="B78" s="359">
        <v>18000</v>
      </c>
      <c r="C78" s="362">
        <v>40</v>
      </c>
      <c r="D78" s="362">
        <v>1</v>
      </c>
      <c r="E78" s="359">
        <f t="shared" si="8"/>
        <v>720000</v>
      </c>
    </row>
    <row r="80" spans="1:11" x14ac:dyDescent="0.25">
      <c r="A80" s="368" t="s">
        <v>301</v>
      </c>
    </row>
    <row r="81" spans="1:11" ht="30" x14ac:dyDescent="0.25">
      <c r="A81" s="364" t="s">
        <v>273</v>
      </c>
      <c r="B81" s="356" t="s">
        <v>150</v>
      </c>
      <c r="C81" s="357" t="s">
        <v>274</v>
      </c>
      <c r="D81" s="356" t="s">
        <v>273</v>
      </c>
      <c r="E81" s="357" t="s">
        <v>264</v>
      </c>
    </row>
    <row r="82" spans="1:11" x14ac:dyDescent="0.25">
      <c r="A82" s="365" t="s">
        <v>276</v>
      </c>
      <c r="B82" s="359">
        <v>550000</v>
      </c>
      <c r="C82" s="362">
        <v>1</v>
      </c>
      <c r="D82" s="362">
        <v>1</v>
      </c>
      <c r="E82" s="359">
        <f>+B82*C82</f>
        <v>550000</v>
      </c>
    </row>
    <row r="83" spans="1:11" x14ac:dyDescent="0.25">
      <c r="A83" s="365" t="s">
        <v>277</v>
      </c>
      <c r="B83" s="359">
        <v>550000</v>
      </c>
      <c r="C83" s="362">
        <v>1</v>
      </c>
      <c r="D83" s="362">
        <v>1</v>
      </c>
      <c r="E83" s="359">
        <f t="shared" ref="E83:E86" si="9">+B83*C83</f>
        <v>550000</v>
      </c>
    </row>
    <row r="84" spans="1:11" x14ac:dyDescent="0.25">
      <c r="A84" s="365" t="s">
        <v>278</v>
      </c>
      <c r="B84" s="359">
        <v>550000</v>
      </c>
      <c r="C84" s="362">
        <v>1</v>
      </c>
      <c r="D84" s="362">
        <v>1</v>
      </c>
      <c r="E84" s="359">
        <f t="shared" si="9"/>
        <v>550000</v>
      </c>
    </row>
    <row r="85" spans="1:11" x14ac:dyDescent="0.25">
      <c r="A85" s="365" t="s">
        <v>279</v>
      </c>
      <c r="B85" s="359">
        <v>550000</v>
      </c>
      <c r="C85" s="362">
        <v>1</v>
      </c>
      <c r="D85" s="362">
        <v>1</v>
      </c>
      <c r="E85" s="359">
        <f t="shared" si="9"/>
        <v>550000</v>
      </c>
    </row>
    <row r="86" spans="1:11" x14ac:dyDescent="0.25">
      <c r="A86" s="365" t="s">
        <v>280</v>
      </c>
      <c r="B86" s="359">
        <v>550000</v>
      </c>
      <c r="C86" s="362">
        <v>1</v>
      </c>
      <c r="D86" s="362">
        <v>1</v>
      </c>
      <c r="E86" s="359">
        <f t="shared" si="9"/>
        <v>550000</v>
      </c>
    </row>
    <row r="89" spans="1:11" x14ac:dyDescent="0.25">
      <c r="A89" s="348" t="s">
        <v>302</v>
      </c>
      <c r="B89" s="349"/>
      <c r="C89" s="349"/>
      <c r="D89" s="349"/>
      <c r="E89" s="349"/>
      <c r="F89" s="349"/>
    </row>
    <row r="91" spans="1:11" x14ac:dyDescent="0.25">
      <c r="A91" s="355" t="s">
        <v>303</v>
      </c>
    </row>
    <row r="93" spans="1:11" ht="60" x14ac:dyDescent="0.25">
      <c r="A93" s="383" t="s">
        <v>304</v>
      </c>
      <c r="B93" s="357" t="s">
        <v>305</v>
      </c>
      <c r="C93" s="357" t="s">
        <v>306</v>
      </c>
      <c r="D93" s="357" t="s">
        <v>307</v>
      </c>
      <c r="E93" s="357" t="s">
        <v>308</v>
      </c>
      <c r="F93" s="357" t="s">
        <v>309</v>
      </c>
      <c r="G93" s="357" t="s">
        <v>364</v>
      </c>
      <c r="H93" s="562" t="s">
        <v>289</v>
      </c>
      <c r="I93" s="563"/>
      <c r="J93" s="563"/>
      <c r="K93" s="563"/>
    </row>
    <row r="94" spans="1:11" ht="57" customHeight="1" x14ac:dyDescent="0.25">
      <c r="A94" s="384" t="s">
        <v>310</v>
      </c>
      <c r="B94" s="385">
        <v>15000000</v>
      </c>
      <c r="C94" s="385">
        <v>5000000</v>
      </c>
      <c r="D94" s="386">
        <f>+G96</f>
        <v>5080500</v>
      </c>
      <c r="E94" s="386">
        <f>+G97</f>
        <v>5366024.0999999996</v>
      </c>
      <c r="F94" s="386">
        <f>+G98</f>
        <v>6070046.4619199997</v>
      </c>
      <c r="G94" s="386">
        <f>+F94*5</f>
        <v>30350232.309599999</v>
      </c>
      <c r="H94" s="554" t="s">
        <v>311</v>
      </c>
      <c r="I94" s="554"/>
      <c r="J94" s="554"/>
      <c r="K94" s="554"/>
    </row>
    <row r="96" spans="1:11" x14ac:dyDescent="0.25">
      <c r="C96" s="387">
        <v>5000000</v>
      </c>
      <c r="D96" s="388">
        <v>1.61E-2</v>
      </c>
      <c r="E96" s="389">
        <v>2020</v>
      </c>
      <c r="F96" s="390">
        <f>+C96*D96</f>
        <v>80500</v>
      </c>
      <c r="G96" s="390">
        <f>+C96+F96</f>
        <v>5080500</v>
      </c>
    </row>
    <row r="97" spans="1:12" x14ac:dyDescent="0.25">
      <c r="C97" s="391">
        <f>+G96</f>
        <v>5080500</v>
      </c>
      <c r="D97" s="388">
        <v>5.62E-2</v>
      </c>
      <c r="E97" s="389" t="s">
        <v>312</v>
      </c>
      <c r="F97" s="390">
        <f>+G96*D97</f>
        <v>285524.09999999998</v>
      </c>
      <c r="G97" s="390">
        <f>+C97+F97</f>
        <v>5366024.0999999996</v>
      </c>
    </row>
    <row r="98" spans="1:12" x14ac:dyDescent="0.25">
      <c r="C98" s="391">
        <f>+G97</f>
        <v>5366024.0999999996</v>
      </c>
      <c r="D98" s="388">
        <v>0.13120000000000001</v>
      </c>
      <c r="E98" s="389" t="s">
        <v>313</v>
      </c>
      <c r="F98" s="390">
        <f>+G97*D98</f>
        <v>704022.36192000005</v>
      </c>
      <c r="G98" s="390">
        <f>+C98+F98</f>
        <v>6070046.4619199997</v>
      </c>
    </row>
    <row r="101" spans="1:12" x14ac:dyDescent="0.25">
      <c r="A101" s="355" t="s">
        <v>314</v>
      </c>
    </row>
    <row r="103" spans="1:12" ht="60" x14ac:dyDescent="0.25">
      <c r="A103" s="392" t="s">
        <v>315</v>
      </c>
      <c r="B103" s="559" t="s">
        <v>316</v>
      </c>
      <c r="C103" s="560"/>
      <c r="D103" s="559" t="s">
        <v>317</v>
      </c>
      <c r="E103" s="560"/>
      <c r="F103" s="393" t="s">
        <v>318</v>
      </c>
      <c r="G103" s="393" t="s">
        <v>319</v>
      </c>
      <c r="H103" s="357" t="s">
        <v>320</v>
      </c>
      <c r="I103" s="561" t="s">
        <v>289</v>
      </c>
      <c r="J103" s="561"/>
      <c r="K103" s="561"/>
      <c r="L103" s="561"/>
    </row>
    <row r="104" spans="1:12" ht="63" customHeight="1" x14ac:dyDescent="0.25">
      <c r="A104" s="394" t="s">
        <v>321</v>
      </c>
      <c r="B104" s="555" t="s">
        <v>322</v>
      </c>
      <c r="C104" s="555"/>
      <c r="D104" s="555" t="s">
        <v>323</v>
      </c>
      <c r="E104" s="555"/>
      <c r="F104" s="396">
        <v>10500000</v>
      </c>
      <c r="G104" s="556">
        <f>+(F104+F105)/2</f>
        <v>7750000</v>
      </c>
      <c r="H104" s="558">
        <f>30000000/5</f>
        <v>6000000</v>
      </c>
      <c r="I104" s="554" t="s">
        <v>324</v>
      </c>
      <c r="J104" s="554"/>
      <c r="K104" s="554"/>
      <c r="L104" s="554"/>
    </row>
    <row r="105" spans="1:12" ht="75" x14ac:dyDescent="0.25">
      <c r="A105" s="394" t="s">
        <v>325</v>
      </c>
      <c r="B105" s="555" t="s">
        <v>326</v>
      </c>
      <c r="C105" s="555"/>
      <c r="D105" s="555" t="s">
        <v>323</v>
      </c>
      <c r="E105" s="555"/>
      <c r="F105" s="396">
        <v>5000000</v>
      </c>
      <c r="G105" s="557"/>
      <c r="H105" s="558"/>
      <c r="I105" s="554"/>
      <c r="J105" s="554"/>
      <c r="K105" s="554"/>
      <c r="L105" s="554"/>
    </row>
    <row r="106" spans="1:12" x14ac:dyDescent="0.25">
      <c r="A106" s="397"/>
      <c r="B106" s="397"/>
      <c r="C106" s="397"/>
      <c r="D106" s="397"/>
      <c r="E106" s="397"/>
      <c r="F106" s="398"/>
      <c r="G106" s="398"/>
      <c r="H106" s="398"/>
    </row>
    <row r="107" spans="1:12" x14ac:dyDescent="0.25">
      <c r="A107" s="397"/>
      <c r="B107" s="397"/>
      <c r="C107" s="397"/>
      <c r="D107" s="397"/>
      <c r="E107" s="397"/>
      <c r="F107" s="398"/>
      <c r="G107" s="398"/>
      <c r="H107" s="398"/>
    </row>
    <row r="108" spans="1:12" ht="45.75" customHeight="1" x14ac:dyDescent="0.25">
      <c r="A108" s="378" t="s">
        <v>327</v>
      </c>
      <c r="B108" s="393" t="s">
        <v>284</v>
      </c>
      <c r="C108" s="393" t="s">
        <v>328</v>
      </c>
    </row>
    <row r="109" spans="1:12" ht="60" x14ac:dyDescent="0.25">
      <c r="A109" s="399" t="s">
        <v>329</v>
      </c>
      <c r="B109" s="395" t="s">
        <v>330</v>
      </c>
      <c r="C109" s="400">
        <v>30000000</v>
      </c>
    </row>
    <row r="112" spans="1:12" x14ac:dyDescent="0.25">
      <c r="A112" s="348" t="s">
        <v>331</v>
      </c>
      <c r="B112" s="349"/>
      <c r="C112" s="349"/>
    </row>
    <row r="114" spans="1:11" ht="60" x14ac:dyDescent="0.25">
      <c r="A114" s="383" t="s">
        <v>304</v>
      </c>
      <c r="B114" s="357" t="s">
        <v>305</v>
      </c>
      <c r="C114" s="357" t="s">
        <v>307</v>
      </c>
      <c r="D114" s="357" t="s">
        <v>308</v>
      </c>
      <c r="E114" s="357" t="s">
        <v>309</v>
      </c>
      <c r="F114" s="357" t="s">
        <v>332</v>
      </c>
      <c r="G114" s="562" t="s">
        <v>289</v>
      </c>
      <c r="H114" s="563"/>
      <c r="I114" s="563"/>
      <c r="J114" s="563"/>
      <c r="K114" s="563"/>
    </row>
    <row r="115" spans="1:11" ht="94.5" customHeight="1" x14ac:dyDescent="0.25">
      <c r="A115" s="384" t="s">
        <v>333</v>
      </c>
      <c r="B115" s="385">
        <v>25000000</v>
      </c>
      <c r="C115" s="386">
        <f>+G117</f>
        <v>25402500</v>
      </c>
      <c r="D115" s="386">
        <f>+G118</f>
        <v>26830120.5</v>
      </c>
      <c r="E115" s="386">
        <f>+G119</f>
        <v>30350232.309599999</v>
      </c>
      <c r="F115" s="386">
        <v>50000000</v>
      </c>
      <c r="G115" s="554" t="s">
        <v>334</v>
      </c>
      <c r="H115" s="554"/>
      <c r="I115" s="554"/>
      <c r="J115" s="554"/>
      <c r="K115" s="554"/>
    </row>
    <row r="117" spans="1:11" x14ac:dyDescent="0.25">
      <c r="C117" s="387">
        <f>+B115</f>
        <v>25000000</v>
      </c>
      <c r="D117" s="388">
        <v>1.61E-2</v>
      </c>
      <c r="E117" s="389">
        <v>2020</v>
      </c>
      <c r="F117" s="390">
        <f>+C117*D117</f>
        <v>402500</v>
      </c>
      <c r="G117" s="390">
        <f>+C117+F117</f>
        <v>25402500</v>
      </c>
    </row>
    <row r="118" spans="1:11" x14ac:dyDescent="0.25">
      <c r="C118" s="391">
        <f>+G117</f>
        <v>25402500</v>
      </c>
      <c r="D118" s="388">
        <v>5.62E-2</v>
      </c>
      <c r="E118" s="389" t="s">
        <v>312</v>
      </c>
      <c r="F118" s="390">
        <f>+G117*D118</f>
        <v>1427620.5</v>
      </c>
      <c r="G118" s="390">
        <f>+C118+F118</f>
        <v>26830120.5</v>
      </c>
    </row>
    <row r="119" spans="1:11" x14ac:dyDescent="0.25">
      <c r="C119" s="391">
        <f>+G118</f>
        <v>26830120.5</v>
      </c>
      <c r="D119" s="388">
        <v>0.13120000000000001</v>
      </c>
      <c r="E119" s="389" t="s">
        <v>313</v>
      </c>
      <c r="F119" s="390">
        <f>+G118*D119</f>
        <v>3520111.8096000003</v>
      </c>
      <c r="G119" s="390">
        <f>+C119+F119</f>
        <v>30350232.309599999</v>
      </c>
    </row>
    <row r="122" spans="1:11" ht="45" x14ac:dyDescent="0.25">
      <c r="A122" s="378" t="s">
        <v>327</v>
      </c>
      <c r="B122" s="393" t="s">
        <v>284</v>
      </c>
      <c r="C122" s="393" t="s">
        <v>328</v>
      </c>
    </row>
    <row r="123" spans="1:11" ht="48" customHeight="1" x14ac:dyDescent="0.25">
      <c r="A123" s="399" t="s">
        <v>335</v>
      </c>
      <c r="B123" s="395" t="s">
        <v>330</v>
      </c>
      <c r="C123" s="401">
        <v>50000000</v>
      </c>
    </row>
  </sheetData>
  <mergeCells count="48">
    <mergeCell ref="A6:A8"/>
    <mergeCell ref="B6:K6"/>
    <mergeCell ref="B7:C7"/>
    <mergeCell ref="D7:E7"/>
    <mergeCell ref="F7:G7"/>
    <mergeCell ref="H7:I7"/>
    <mergeCell ref="J7:K7"/>
    <mergeCell ref="B14:K14"/>
    <mergeCell ref="B15:K15"/>
    <mergeCell ref="B16:K16"/>
    <mergeCell ref="A20:A22"/>
    <mergeCell ref="B20:C20"/>
    <mergeCell ref="D20:E21"/>
    <mergeCell ref="F20:F21"/>
    <mergeCell ref="G20:G21"/>
    <mergeCell ref="H20:H21"/>
    <mergeCell ref="I20:I21"/>
    <mergeCell ref="J20:K21"/>
    <mergeCell ref="D22:E22"/>
    <mergeCell ref="J22:K22"/>
    <mergeCell ref="J46:M47"/>
    <mergeCell ref="J48:M48"/>
    <mergeCell ref="A50:A51"/>
    <mergeCell ref="B50:B51"/>
    <mergeCell ref="C50:C51"/>
    <mergeCell ref="A46:A47"/>
    <mergeCell ref="B46:B47"/>
    <mergeCell ref="C46:C47"/>
    <mergeCell ref="D46:D47"/>
    <mergeCell ref="I46:I47"/>
    <mergeCell ref="H66:H67"/>
    <mergeCell ref="I66:I67"/>
    <mergeCell ref="H69:K70"/>
    <mergeCell ref="H71:K76"/>
    <mergeCell ref="H93:K93"/>
    <mergeCell ref="H94:K94"/>
    <mergeCell ref="B103:C103"/>
    <mergeCell ref="D103:E103"/>
    <mergeCell ref="I103:L103"/>
    <mergeCell ref="G114:K114"/>
    <mergeCell ref="G115:K115"/>
    <mergeCell ref="B104:C104"/>
    <mergeCell ref="D104:E104"/>
    <mergeCell ref="G104:G105"/>
    <mergeCell ref="H104:H105"/>
    <mergeCell ref="I104:L105"/>
    <mergeCell ref="B105:C105"/>
    <mergeCell ref="D105:E105"/>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8C91C-7F4D-43CD-BA86-F8EE3BD6E781}">
  <dimension ref="B6:G12"/>
  <sheetViews>
    <sheetView workbookViewId="0">
      <selection activeCell="D29" sqref="D29"/>
    </sheetView>
  </sheetViews>
  <sheetFormatPr baseColWidth="10" defaultRowHeight="15" x14ac:dyDescent="0.25"/>
  <cols>
    <col min="2" max="2" width="51.28515625" customWidth="1"/>
  </cols>
  <sheetData>
    <row r="6" spans="2:7" ht="22.5" x14ac:dyDescent="0.25">
      <c r="B6" s="404" t="s">
        <v>371</v>
      </c>
      <c r="C6" s="402" t="s">
        <v>13</v>
      </c>
      <c r="D6" s="402" t="s">
        <v>372</v>
      </c>
      <c r="E6" s="402" t="s">
        <v>373</v>
      </c>
      <c r="F6" s="402" t="s">
        <v>374</v>
      </c>
      <c r="G6" s="405" t="s">
        <v>375</v>
      </c>
    </row>
    <row r="7" spans="2:7" x14ac:dyDescent="0.25">
      <c r="B7" s="408" t="s">
        <v>376</v>
      </c>
      <c r="C7" s="409">
        <v>7</v>
      </c>
      <c r="D7" s="345">
        <v>1</v>
      </c>
      <c r="E7" s="345">
        <v>2</v>
      </c>
      <c r="F7" s="403">
        <v>0</v>
      </c>
      <c r="G7" s="406">
        <v>0</v>
      </c>
    </row>
    <row r="8" spans="2:7" x14ac:dyDescent="0.25">
      <c r="B8" s="408" t="s">
        <v>377</v>
      </c>
      <c r="C8" s="409">
        <v>7</v>
      </c>
      <c r="D8" s="345">
        <v>1</v>
      </c>
      <c r="E8" s="345">
        <v>2</v>
      </c>
      <c r="F8" s="403">
        <v>0</v>
      </c>
      <c r="G8" s="406">
        <v>0</v>
      </c>
    </row>
    <row r="9" spans="2:7" x14ac:dyDescent="0.25">
      <c r="B9" s="408" t="s">
        <v>378</v>
      </c>
      <c r="C9" s="409">
        <v>75</v>
      </c>
      <c r="D9" s="345">
        <v>1</v>
      </c>
      <c r="E9" s="345">
        <v>2</v>
      </c>
      <c r="F9" s="403">
        <v>0</v>
      </c>
      <c r="G9" s="406">
        <v>0</v>
      </c>
    </row>
    <row r="10" spans="2:7" x14ac:dyDescent="0.25">
      <c r="B10" s="408" t="s">
        <v>379</v>
      </c>
      <c r="C10" s="409">
        <v>75</v>
      </c>
      <c r="D10" s="345">
        <v>1</v>
      </c>
      <c r="E10" s="345">
        <v>2</v>
      </c>
      <c r="F10" s="403">
        <v>0</v>
      </c>
      <c r="G10" s="406">
        <v>0</v>
      </c>
    </row>
    <row r="11" spans="2:7" x14ac:dyDescent="0.25">
      <c r="B11" s="589" t="s">
        <v>380</v>
      </c>
      <c r="C11" s="590"/>
      <c r="D11" s="590"/>
      <c r="E11" s="590"/>
      <c r="F11" s="591"/>
      <c r="G11" s="407">
        <v>0</v>
      </c>
    </row>
    <row r="12" spans="2:7" x14ac:dyDescent="0.25">
      <c r="B12" s="592" t="s">
        <v>381</v>
      </c>
      <c r="C12" s="593"/>
      <c r="D12" s="593"/>
      <c r="E12" s="593"/>
      <c r="F12" s="593"/>
      <c r="G12" s="410">
        <v>0</v>
      </c>
    </row>
  </sheetData>
  <mergeCells count="2">
    <mergeCell ref="B11:F11"/>
    <mergeCell ref="B12:F1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CA67D-9311-4DF6-89C6-3E8ED6D2BF64}">
  <dimension ref="A1:AE50"/>
  <sheetViews>
    <sheetView workbookViewId="0">
      <selection activeCell="A21" sqref="A21:XFD21"/>
    </sheetView>
  </sheetViews>
  <sheetFormatPr baseColWidth="10" defaultColWidth="11.42578125" defaultRowHeight="12.75" x14ac:dyDescent="0.2"/>
  <cols>
    <col min="1" max="1" width="49.140625" style="135" customWidth="1"/>
    <col min="2" max="2" width="10.42578125" style="135" customWidth="1"/>
    <col min="3" max="3" width="13.42578125" style="135" customWidth="1"/>
    <col min="4" max="4" width="8.42578125" style="135" customWidth="1"/>
    <col min="5" max="5" width="18" style="135" customWidth="1"/>
    <col min="6" max="6" width="19.42578125" style="135" customWidth="1"/>
    <col min="7" max="7" width="18" style="135" customWidth="1"/>
    <col min="8" max="8" width="14.7109375" style="135" customWidth="1"/>
    <col min="9" max="9" width="27.7109375" style="135" customWidth="1"/>
    <col min="10" max="10" width="17.42578125" style="135" customWidth="1"/>
    <col min="11" max="11" width="13.85546875" style="135" customWidth="1"/>
    <col min="12" max="12" width="18" style="135" customWidth="1"/>
    <col min="13" max="13" width="16" style="135" customWidth="1"/>
    <col min="14" max="14" width="14.28515625" style="135" customWidth="1"/>
    <col min="15" max="15" width="18.140625" style="135" customWidth="1"/>
    <col min="16" max="16" width="13.7109375" style="135" customWidth="1"/>
    <col min="17" max="17" width="17.140625" style="135" customWidth="1"/>
    <col min="18" max="18" width="17" style="135" customWidth="1"/>
    <col min="19" max="19" width="22.28515625" style="135" customWidth="1"/>
    <col min="20" max="20" width="15.42578125" style="135" customWidth="1"/>
    <col min="21" max="21" width="19.28515625" style="135" customWidth="1"/>
    <col min="22" max="22" width="18.28515625" style="135" customWidth="1"/>
    <col min="23" max="24" width="16" style="135" customWidth="1"/>
    <col min="25" max="25" width="17.42578125" style="135" customWidth="1"/>
    <col min="26" max="26" width="14.28515625" style="135" customWidth="1"/>
    <col min="27" max="27" width="14.85546875" style="135" customWidth="1"/>
    <col min="28" max="28" width="19.28515625" style="135" customWidth="1"/>
    <col min="29" max="30" width="11.42578125" style="135"/>
    <col min="31" max="31" width="13.7109375" style="135" bestFit="1" customWidth="1"/>
    <col min="32" max="16384" width="11.42578125" style="135"/>
  </cols>
  <sheetData>
    <row r="1" spans="1:31" x14ac:dyDescent="0.2">
      <c r="A1" s="529" t="s">
        <v>126</v>
      </c>
      <c r="B1" s="529" t="s">
        <v>127</v>
      </c>
      <c r="C1" s="529" t="s">
        <v>39</v>
      </c>
      <c r="D1" s="530" t="s">
        <v>128</v>
      </c>
      <c r="E1" s="531" t="s">
        <v>129</v>
      </c>
      <c r="F1" s="531"/>
      <c r="G1" s="531"/>
      <c r="H1" s="532" t="s">
        <v>130</v>
      </c>
      <c r="I1" s="532"/>
      <c r="J1" s="532"/>
      <c r="K1" s="535" t="s">
        <v>131</v>
      </c>
      <c r="L1" s="535"/>
      <c r="M1" s="535"/>
      <c r="N1" s="536" t="s">
        <v>132</v>
      </c>
      <c r="O1" s="536"/>
      <c r="P1" s="536"/>
      <c r="Q1" s="537" t="s">
        <v>133</v>
      </c>
      <c r="R1" s="538"/>
      <c r="AD1" s="523" t="s">
        <v>134</v>
      </c>
    </row>
    <row r="2" spans="1:31" ht="25.5" x14ac:dyDescent="0.2">
      <c r="A2" s="529"/>
      <c r="B2" s="529"/>
      <c r="C2" s="529"/>
      <c r="D2" s="530"/>
      <c r="E2" s="136" t="s">
        <v>135</v>
      </c>
      <c r="F2" s="136" t="s">
        <v>136</v>
      </c>
      <c r="G2" s="136" t="s">
        <v>137</v>
      </c>
      <c r="H2" s="137" t="s">
        <v>135</v>
      </c>
      <c r="I2" s="137" t="s">
        <v>136</v>
      </c>
      <c r="J2" s="137" t="s">
        <v>138</v>
      </c>
      <c r="K2" s="138" t="s">
        <v>135</v>
      </c>
      <c r="L2" s="138" t="s">
        <v>136</v>
      </c>
      <c r="M2" s="138" t="s">
        <v>138</v>
      </c>
      <c r="N2" s="139" t="s">
        <v>135</v>
      </c>
      <c r="O2" s="139" t="s">
        <v>136</v>
      </c>
      <c r="P2" s="139" t="s">
        <v>138</v>
      </c>
      <c r="Q2" s="140" t="s">
        <v>135</v>
      </c>
      <c r="R2" s="140" t="s">
        <v>136</v>
      </c>
      <c r="AD2" s="524"/>
      <c r="AE2" s="140" t="s">
        <v>135</v>
      </c>
    </row>
    <row r="3" spans="1:31" x14ac:dyDescent="0.2">
      <c r="A3" s="141" t="s">
        <v>139</v>
      </c>
      <c r="B3" s="142"/>
      <c r="C3" s="142"/>
      <c r="D3" s="142"/>
      <c r="E3" s="142"/>
      <c r="F3" s="142"/>
      <c r="G3" s="143"/>
      <c r="H3" s="142"/>
      <c r="I3" s="142"/>
      <c r="J3" s="143"/>
      <c r="K3" s="142"/>
      <c r="L3" s="142"/>
      <c r="M3" s="143"/>
      <c r="N3" s="144"/>
      <c r="O3" s="144"/>
      <c r="P3" s="144"/>
      <c r="Q3" s="145"/>
      <c r="R3" s="145"/>
      <c r="Y3" s="146"/>
    </row>
    <row r="4" spans="1:31" x14ac:dyDescent="0.2">
      <c r="A4" s="147" t="s">
        <v>140</v>
      </c>
      <c r="B4" s="148">
        <v>1</v>
      </c>
      <c r="C4" s="149">
        <v>1</v>
      </c>
      <c r="D4" s="150">
        <v>10</v>
      </c>
      <c r="E4" s="151">
        <v>8000000</v>
      </c>
      <c r="F4" s="152">
        <v>50000000</v>
      </c>
      <c r="G4" s="153">
        <v>0</v>
      </c>
      <c r="H4" s="151">
        <v>7000000</v>
      </c>
      <c r="I4" s="132">
        <v>56000000</v>
      </c>
      <c r="J4" s="153">
        <v>0</v>
      </c>
      <c r="K4" s="153">
        <v>3500000</v>
      </c>
      <c r="L4" s="132">
        <f>+$B4*$C4*$D4*K4</f>
        <v>35000000</v>
      </c>
      <c r="M4" s="132">
        <v>0</v>
      </c>
      <c r="N4" s="153">
        <v>3500000</v>
      </c>
      <c r="O4" s="132">
        <f>+$B4*$C4*$D4*N4</f>
        <v>35000000</v>
      </c>
      <c r="P4" s="132">
        <v>0</v>
      </c>
      <c r="Q4" s="132">
        <f>AVERAGE(E4,H4,K4,N4)</f>
        <v>5500000</v>
      </c>
      <c r="R4" s="132">
        <f>+$B4*$C4*$D4*Q4</f>
        <v>55000000</v>
      </c>
      <c r="AD4" s="154" t="e">
        <f>AVERAGE(E4,H4,#REF!,K4,N4)</f>
        <v>#REF!</v>
      </c>
      <c r="AE4" s="154">
        <f>Q4*D4*B4</f>
        <v>55000000</v>
      </c>
    </row>
    <row r="5" spans="1:31" x14ac:dyDescent="0.2">
      <c r="A5" s="147" t="s">
        <v>141</v>
      </c>
      <c r="B5" s="155">
        <v>1</v>
      </c>
      <c r="C5" s="149">
        <v>1</v>
      </c>
      <c r="D5" s="150">
        <v>10</v>
      </c>
      <c r="E5" s="153">
        <v>3900000</v>
      </c>
      <c r="F5" s="152">
        <v>29000000</v>
      </c>
      <c r="G5" s="153">
        <v>0</v>
      </c>
      <c r="H5" s="153">
        <v>2800000</v>
      </c>
      <c r="I5" s="132">
        <v>22400000</v>
      </c>
      <c r="J5" s="132">
        <v>0</v>
      </c>
      <c r="K5" s="153">
        <v>1900000</v>
      </c>
      <c r="L5" s="132">
        <f>+$B5*$C5*$D5*K5</f>
        <v>19000000</v>
      </c>
      <c r="M5" s="132">
        <v>0</v>
      </c>
      <c r="N5" s="153">
        <v>1900000</v>
      </c>
      <c r="O5" s="132">
        <f>+$B5*$C5*$D5*N5</f>
        <v>19000000</v>
      </c>
      <c r="P5" s="132">
        <v>0</v>
      </c>
      <c r="Q5" s="132">
        <f t="shared" ref="Q5:Q8" si="0">AVERAGE(E5,H5,K5,N5)</f>
        <v>2625000</v>
      </c>
      <c r="R5" s="132">
        <f>+$B5*$C5*$D5*Q5</f>
        <v>26250000</v>
      </c>
      <c r="AD5" s="154" t="e">
        <f>AVERAGE(E5,H5,#REF!,K5,N5)</f>
        <v>#REF!</v>
      </c>
      <c r="AE5" s="154">
        <f>Q5*D5*B5</f>
        <v>26250000</v>
      </c>
    </row>
    <row r="6" spans="1:31" x14ac:dyDescent="0.2">
      <c r="A6" s="147" t="s">
        <v>142</v>
      </c>
      <c r="B6" s="155">
        <v>4</v>
      </c>
      <c r="C6" s="149">
        <v>1</v>
      </c>
      <c r="D6" s="150">
        <v>10</v>
      </c>
      <c r="E6" s="153">
        <v>5900000</v>
      </c>
      <c r="F6" s="152">
        <v>156000000</v>
      </c>
      <c r="G6" s="153">
        <v>0</v>
      </c>
      <c r="H6" s="153">
        <v>5000000</v>
      </c>
      <c r="I6" s="132">
        <v>40000000</v>
      </c>
      <c r="J6" s="132">
        <v>0</v>
      </c>
      <c r="K6" s="153">
        <v>2800000</v>
      </c>
      <c r="L6" s="132">
        <v>11200000</v>
      </c>
      <c r="M6" s="132">
        <v>0</v>
      </c>
      <c r="N6" s="153">
        <v>2800000</v>
      </c>
      <c r="O6" s="132">
        <v>11200000</v>
      </c>
      <c r="P6" s="132">
        <v>0</v>
      </c>
      <c r="Q6" s="132">
        <f t="shared" si="0"/>
        <v>4125000</v>
      </c>
      <c r="R6" s="132">
        <f>+$B6*$C6*$D6*Q6</f>
        <v>165000000</v>
      </c>
      <c r="Y6" s="156"/>
      <c r="AD6" s="154" t="e">
        <f>AVERAGE(E6,H6,#REF!,K6,N6)</f>
        <v>#REF!</v>
      </c>
      <c r="AE6" s="154">
        <f t="shared" ref="AE6:AE8" si="1">Q6*D6*B6</f>
        <v>165000000</v>
      </c>
    </row>
    <row r="7" spans="1:31" s="162" customFormat="1" hidden="1" x14ac:dyDescent="0.2">
      <c r="A7" s="147" t="s">
        <v>143</v>
      </c>
      <c r="B7" s="157">
        <v>1</v>
      </c>
      <c r="C7" s="158">
        <v>0.25</v>
      </c>
      <c r="D7" s="159">
        <v>8</v>
      </c>
      <c r="E7" s="160">
        <v>0</v>
      </c>
      <c r="F7" s="152">
        <f>(E7*D7*C7*B7)</f>
        <v>0</v>
      </c>
      <c r="G7" s="160">
        <v>0</v>
      </c>
      <c r="H7" s="160">
        <v>0</v>
      </c>
      <c r="I7" s="161">
        <v>0</v>
      </c>
      <c r="J7" s="132">
        <v>0</v>
      </c>
      <c r="K7" s="132">
        <v>0</v>
      </c>
      <c r="L7" s="132">
        <v>0</v>
      </c>
      <c r="M7" s="132">
        <v>0</v>
      </c>
      <c r="N7" s="132">
        <v>0</v>
      </c>
      <c r="O7" s="132">
        <v>0</v>
      </c>
      <c r="P7" s="132">
        <v>0</v>
      </c>
      <c r="Q7" s="132">
        <f t="shared" si="0"/>
        <v>0</v>
      </c>
      <c r="R7" s="160"/>
      <c r="Y7" s="146"/>
      <c r="Z7" s="146"/>
      <c r="AE7" s="154">
        <f t="shared" si="1"/>
        <v>0</v>
      </c>
    </row>
    <row r="8" spans="1:31" x14ac:dyDescent="0.2">
      <c r="A8" s="147" t="s">
        <v>143</v>
      </c>
      <c r="B8" s="163">
        <v>1</v>
      </c>
      <c r="C8" s="149">
        <v>1</v>
      </c>
      <c r="D8" s="150">
        <v>10</v>
      </c>
      <c r="E8" s="153">
        <v>4300000</v>
      </c>
      <c r="F8" s="152">
        <v>13200000</v>
      </c>
      <c r="G8" s="153"/>
      <c r="H8" s="153">
        <v>2000000</v>
      </c>
      <c r="I8" s="132">
        <v>16000000</v>
      </c>
      <c r="J8" s="132">
        <v>0</v>
      </c>
      <c r="K8" s="153">
        <v>0</v>
      </c>
      <c r="L8" s="132">
        <f>+$B8*$C8*$D8*K8</f>
        <v>0</v>
      </c>
      <c r="M8" s="132">
        <v>0</v>
      </c>
      <c r="N8" s="153">
        <v>0</v>
      </c>
      <c r="O8" s="132">
        <f>+$B8*$C8*$D8*N8</f>
        <v>0</v>
      </c>
      <c r="P8" s="132">
        <v>0</v>
      </c>
      <c r="Q8" s="132">
        <f t="shared" si="0"/>
        <v>1575000</v>
      </c>
      <c r="R8" s="132">
        <f>+$B8*$C8*$D8*Q8</f>
        <v>15750000</v>
      </c>
      <c r="Y8" s="146"/>
      <c r="Z8" s="164"/>
      <c r="AD8" s="154" t="e">
        <f>AVERAGE(E8,H8,#REF!,K8,N8)</f>
        <v>#REF!</v>
      </c>
      <c r="AE8" s="154">
        <f t="shared" si="1"/>
        <v>15750000</v>
      </c>
    </row>
    <row r="9" spans="1:31" x14ac:dyDescent="0.2">
      <c r="A9" s="141" t="s">
        <v>144</v>
      </c>
      <c r="B9" s="165"/>
      <c r="C9" s="165"/>
      <c r="D9" s="165"/>
      <c r="E9" s="165"/>
      <c r="F9" s="166">
        <f>SUM(F4:F8)</f>
        <v>248200000</v>
      </c>
      <c r="G9" s="167">
        <f>+G4+G5+G6</f>
        <v>0</v>
      </c>
      <c r="H9" s="165"/>
      <c r="I9" s="166">
        <f>SUM(I4:I8)</f>
        <v>134400000</v>
      </c>
      <c r="J9" s="167">
        <f>+J4+J5+J6</f>
        <v>0</v>
      </c>
      <c r="K9" s="132">
        <v>0</v>
      </c>
      <c r="L9" s="166">
        <f>SUM(L4:L8)</f>
        <v>65200000</v>
      </c>
      <c r="M9" s="167">
        <v>0</v>
      </c>
      <c r="N9" s="132">
        <v>0</v>
      </c>
      <c r="O9" s="166">
        <v>541000000</v>
      </c>
      <c r="P9" s="167">
        <v>0</v>
      </c>
      <c r="Q9" s="167"/>
      <c r="R9" s="167">
        <f>SUM(R4:R8)</f>
        <v>262000000</v>
      </c>
      <c r="Y9" s="146"/>
      <c r="Z9" s="146"/>
      <c r="AE9" s="154">
        <f>SUM(AE4:AE8)</f>
        <v>262000000</v>
      </c>
    </row>
    <row r="10" spans="1:31" x14ac:dyDescent="0.2">
      <c r="A10" s="141" t="s">
        <v>145</v>
      </c>
      <c r="B10" s="142"/>
      <c r="C10" s="142"/>
      <c r="D10" s="142"/>
      <c r="E10" s="142"/>
      <c r="F10" s="168"/>
      <c r="G10" s="143"/>
      <c r="H10" s="142"/>
      <c r="I10" s="142"/>
      <c r="J10" s="143"/>
      <c r="K10" s="142"/>
      <c r="L10" s="142"/>
      <c r="M10" s="143"/>
      <c r="N10" s="142"/>
      <c r="O10" s="142"/>
      <c r="P10" s="143"/>
      <c r="Q10" s="145"/>
      <c r="R10" s="145"/>
      <c r="Y10" s="146"/>
    </row>
    <row r="11" spans="1:31" x14ac:dyDescent="0.2">
      <c r="A11" s="38" t="s">
        <v>26</v>
      </c>
      <c r="B11" s="169">
        <v>1</v>
      </c>
      <c r="C11" s="150" t="s">
        <v>28</v>
      </c>
      <c r="D11" s="150" t="s">
        <v>28</v>
      </c>
      <c r="E11" s="151">
        <v>10455374</v>
      </c>
      <c r="F11" s="152">
        <f t="shared" ref="F11:F16" si="2">+B11*E11</f>
        <v>10455374</v>
      </c>
      <c r="G11" s="132">
        <v>0</v>
      </c>
      <c r="H11" s="151">
        <v>20000000</v>
      </c>
      <c r="I11" s="132">
        <f t="shared" ref="I11:I16" si="3">(H11*B11)</f>
        <v>20000000</v>
      </c>
      <c r="J11" s="132">
        <v>0</v>
      </c>
      <c r="K11" s="170">
        <v>9450000</v>
      </c>
      <c r="L11" s="171">
        <f>K11*B11</f>
        <v>9450000</v>
      </c>
      <c r="M11" s="132">
        <v>0</v>
      </c>
      <c r="N11" s="170">
        <v>20000000</v>
      </c>
      <c r="O11" s="170">
        <v>20000000</v>
      </c>
      <c r="P11" s="132">
        <v>0</v>
      </c>
      <c r="Q11" s="132">
        <f t="shared" ref="Q11:Q16" si="4">AVERAGE(E11,H11,K11,N11)</f>
        <v>14976343.5</v>
      </c>
      <c r="R11" s="132">
        <f>Q11*B11</f>
        <v>14976343.5</v>
      </c>
      <c r="Y11" s="146"/>
      <c r="AD11" s="154" t="e">
        <f>AVERAGE(E11,H11,#REF!,K11,N11)</f>
        <v>#REF!</v>
      </c>
      <c r="AE11" s="154">
        <f>Q11*B11</f>
        <v>14976343.5</v>
      </c>
    </row>
    <row r="12" spans="1:31" x14ac:dyDescent="0.2">
      <c r="A12" s="38" t="s">
        <v>29</v>
      </c>
      <c r="B12" s="169">
        <v>1</v>
      </c>
      <c r="C12" s="150" t="s">
        <v>28</v>
      </c>
      <c r="D12" s="150" t="s">
        <v>28</v>
      </c>
      <c r="E12" s="153">
        <v>5000000</v>
      </c>
      <c r="F12" s="152">
        <f t="shared" si="2"/>
        <v>5000000</v>
      </c>
      <c r="G12" s="132">
        <v>0</v>
      </c>
      <c r="H12" s="153">
        <v>8000000</v>
      </c>
      <c r="I12" s="132">
        <f t="shared" si="3"/>
        <v>8000000</v>
      </c>
      <c r="J12" s="132">
        <v>0</v>
      </c>
      <c r="K12" s="170">
        <v>8950000</v>
      </c>
      <c r="L12" s="171">
        <f>K12*B12</f>
        <v>8950000</v>
      </c>
      <c r="M12" s="132">
        <v>0</v>
      </c>
      <c r="N12" s="170">
        <v>5000000</v>
      </c>
      <c r="O12" s="170">
        <v>5000000</v>
      </c>
      <c r="P12" s="132">
        <v>0</v>
      </c>
      <c r="Q12" s="132">
        <f t="shared" si="4"/>
        <v>6737500</v>
      </c>
      <c r="R12" s="132">
        <f t="shared" ref="R12:R16" si="5">Q12*B12</f>
        <v>6737500</v>
      </c>
      <c r="S12" s="172" t="s">
        <v>146</v>
      </c>
      <c r="T12" s="173" t="s">
        <v>147</v>
      </c>
      <c r="U12" s="173" t="s">
        <v>148</v>
      </c>
      <c r="V12" s="174" t="s">
        <v>149</v>
      </c>
      <c r="W12" s="173" t="s">
        <v>150</v>
      </c>
      <c r="X12" s="173" t="s">
        <v>151</v>
      </c>
      <c r="Y12" s="174" t="s">
        <v>152</v>
      </c>
      <c r="Z12" s="173" t="s">
        <v>150</v>
      </c>
      <c r="AA12" s="173" t="s">
        <v>136</v>
      </c>
      <c r="AB12" s="173" t="s">
        <v>153</v>
      </c>
      <c r="AD12" s="154" t="e">
        <f>AVERAGE(E12,H12,#REF!,K12,N12)</f>
        <v>#REF!</v>
      </c>
      <c r="AE12" s="154">
        <f t="shared" ref="AE12:AE16" si="6">Q12*B12</f>
        <v>6737500</v>
      </c>
    </row>
    <row r="13" spans="1:31" s="162" customFormat="1" hidden="1" x14ac:dyDescent="0.2">
      <c r="A13" s="38" t="s">
        <v>30</v>
      </c>
      <c r="B13" s="175">
        <v>7</v>
      </c>
      <c r="C13" s="150" t="s">
        <v>28</v>
      </c>
      <c r="D13" s="150" t="s">
        <v>28</v>
      </c>
      <c r="E13" s="160">
        <v>0</v>
      </c>
      <c r="F13" s="152">
        <f t="shared" si="2"/>
        <v>0</v>
      </c>
      <c r="G13" s="161">
        <v>0</v>
      </c>
      <c r="H13" s="160">
        <v>0</v>
      </c>
      <c r="I13" s="132">
        <f t="shared" si="3"/>
        <v>0</v>
      </c>
      <c r="J13" s="132">
        <v>0</v>
      </c>
      <c r="K13" s="176">
        <v>4000000</v>
      </c>
      <c r="L13" s="171">
        <f>K13*B13</f>
        <v>28000000</v>
      </c>
      <c r="M13" s="161">
        <v>0</v>
      </c>
      <c r="N13" s="176">
        <v>500000</v>
      </c>
      <c r="O13" s="176">
        <v>500000</v>
      </c>
      <c r="P13" s="161">
        <v>0</v>
      </c>
      <c r="Q13" s="132">
        <f t="shared" si="4"/>
        <v>1125000</v>
      </c>
      <c r="R13" s="132">
        <f t="shared" si="5"/>
        <v>7875000</v>
      </c>
      <c r="T13" s="135"/>
      <c r="U13" s="135"/>
      <c r="V13" s="135"/>
      <c r="W13" s="135"/>
      <c r="X13" s="135"/>
      <c r="Y13" s="146"/>
      <c r="Z13" s="146"/>
      <c r="AD13" s="154" t="e">
        <f>AVERAGE(E13,H13,#REF!,K13,N13)</f>
        <v>#REF!</v>
      </c>
      <c r="AE13" s="154">
        <f t="shared" si="6"/>
        <v>7875000</v>
      </c>
    </row>
    <row r="14" spans="1:31" s="162" customFormat="1" hidden="1" x14ac:dyDescent="0.2">
      <c r="A14" s="38" t="s">
        <v>154</v>
      </c>
      <c r="B14" s="175">
        <v>7</v>
      </c>
      <c r="C14" s="150" t="s">
        <v>28</v>
      </c>
      <c r="D14" s="150" t="s">
        <v>28</v>
      </c>
      <c r="E14" s="160">
        <v>0</v>
      </c>
      <c r="F14" s="152">
        <f t="shared" si="2"/>
        <v>0</v>
      </c>
      <c r="G14" s="161">
        <v>0</v>
      </c>
      <c r="H14" s="160">
        <v>0</v>
      </c>
      <c r="I14" s="132">
        <f t="shared" si="3"/>
        <v>0</v>
      </c>
      <c r="J14" s="132">
        <v>0</v>
      </c>
      <c r="K14" s="176">
        <v>3000000</v>
      </c>
      <c r="L14" s="171">
        <f>K14*B14</f>
        <v>21000000</v>
      </c>
      <c r="M14" s="161">
        <v>0</v>
      </c>
      <c r="N14" s="176">
        <v>5000000</v>
      </c>
      <c r="O14" s="176">
        <v>5000000</v>
      </c>
      <c r="P14" s="161">
        <v>0</v>
      </c>
      <c r="Q14" s="132">
        <f t="shared" si="4"/>
        <v>2000000</v>
      </c>
      <c r="R14" s="132">
        <f t="shared" si="5"/>
        <v>14000000</v>
      </c>
      <c r="T14" s="177" t="s">
        <v>155</v>
      </c>
      <c r="U14" s="177" t="s">
        <v>150</v>
      </c>
      <c r="V14" s="177"/>
      <c r="W14" s="177"/>
      <c r="X14" s="177"/>
      <c r="Y14" s="177" t="s">
        <v>156</v>
      </c>
      <c r="Z14" s="177" t="s">
        <v>157</v>
      </c>
      <c r="AA14" s="177" t="s">
        <v>158</v>
      </c>
      <c r="AB14" s="177" t="s">
        <v>153</v>
      </c>
      <c r="AD14" s="154" t="e">
        <f>AVERAGE(E14,H14,#REF!,K14,N14)</f>
        <v>#REF!</v>
      </c>
      <c r="AE14" s="154">
        <f t="shared" si="6"/>
        <v>14000000</v>
      </c>
    </row>
    <row r="15" spans="1:31" x14ac:dyDescent="0.2">
      <c r="A15" s="38" t="s">
        <v>30</v>
      </c>
      <c r="B15" s="178">
        <v>1</v>
      </c>
      <c r="C15" s="150" t="s">
        <v>28</v>
      </c>
      <c r="D15" s="150" t="s">
        <v>28</v>
      </c>
      <c r="E15" s="153">
        <v>7500000</v>
      </c>
      <c r="F15" s="152">
        <f t="shared" si="2"/>
        <v>7500000</v>
      </c>
      <c r="G15" s="132">
        <v>0</v>
      </c>
      <c r="H15" s="153">
        <v>25000000</v>
      </c>
      <c r="I15" s="132">
        <f t="shared" si="3"/>
        <v>25000000</v>
      </c>
      <c r="J15" s="132">
        <v>0</v>
      </c>
      <c r="K15" s="170">
        <v>8250000</v>
      </c>
      <c r="L15" s="171">
        <f>K15*B15</f>
        <v>8250000</v>
      </c>
      <c r="M15" s="132">
        <v>0</v>
      </c>
      <c r="N15" s="170">
        <v>500000</v>
      </c>
      <c r="O15" s="170">
        <v>500000</v>
      </c>
      <c r="P15" s="132">
        <v>0</v>
      </c>
      <c r="Q15" s="132">
        <f t="shared" si="4"/>
        <v>10312500</v>
      </c>
      <c r="R15" s="132">
        <f t="shared" si="5"/>
        <v>10312500</v>
      </c>
      <c r="T15" s="179" t="s">
        <v>159</v>
      </c>
      <c r="U15" s="180">
        <v>1333333</v>
      </c>
      <c r="V15" s="181">
        <v>1.61E-2</v>
      </c>
      <c r="W15" s="180">
        <f>+U15*V15</f>
        <v>21466.6613</v>
      </c>
      <c r="X15" s="180">
        <f>+U15+W15</f>
        <v>1354799.6613</v>
      </c>
      <c r="Y15" s="181">
        <v>5.62E-2</v>
      </c>
      <c r="Z15" s="180">
        <f>+X15*Y15</f>
        <v>76139.740965060002</v>
      </c>
      <c r="AA15" s="182">
        <f>+X15+Z15</f>
        <v>1430939.40226506</v>
      </c>
      <c r="AB15" s="525">
        <f>+AVERAGE(AA15:AA18)</f>
        <v>1390239.80010786</v>
      </c>
      <c r="AD15" s="154" t="e">
        <f>AVERAGE(E15,H15,#REF!,K15,N15)</f>
        <v>#REF!</v>
      </c>
      <c r="AE15" s="154">
        <f t="shared" si="6"/>
        <v>10312500</v>
      </c>
    </row>
    <row r="16" spans="1:31" x14ac:dyDescent="0.2">
      <c r="A16" s="38" t="s">
        <v>154</v>
      </c>
      <c r="B16" s="178">
        <v>1</v>
      </c>
      <c r="C16" s="150" t="s">
        <v>28</v>
      </c>
      <c r="D16" s="150" t="s">
        <v>28</v>
      </c>
      <c r="E16" s="153">
        <v>4000000</v>
      </c>
      <c r="F16" s="152">
        <f t="shared" si="2"/>
        <v>4000000</v>
      </c>
      <c r="G16" s="132"/>
      <c r="H16" s="153">
        <v>10000000</v>
      </c>
      <c r="I16" s="132">
        <f t="shared" si="3"/>
        <v>10000000</v>
      </c>
      <c r="J16" s="132">
        <v>0</v>
      </c>
      <c r="K16" s="170">
        <v>210000</v>
      </c>
      <c r="L16" s="171">
        <v>8400000</v>
      </c>
      <c r="M16" s="132"/>
      <c r="N16" s="170">
        <v>5000000</v>
      </c>
      <c r="O16" s="170">
        <v>5000000</v>
      </c>
      <c r="P16" s="132"/>
      <c r="Q16" s="132">
        <f t="shared" si="4"/>
        <v>4802500</v>
      </c>
      <c r="R16" s="132">
        <f t="shared" si="5"/>
        <v>4802500</v>
      </c>
      <c r="T16" s="179"/>
      <c r="U16" s="180"/>
      <c r="V16" s="181"/>
      <c r="W16" s="180"/>
      <c r="X16" s="180"/>
      <c r="Y16" s="181"/>
      <c r="Z16" s="180"/>
      <c r="AA16" s="182"/>
      <c r="AB16" s="525"/>
      <c r="AD16" s="154" t="e">
        <f>AVERAGE(E16,H16,#REF!,K16,N16)</f>
        <v>#REF!</v>
      </c>
      <c r="AE16" s="154">
        <f t="shared" si="6"/>
        <v>4802500</v>
      </c>
    </row>
    <row r="17" spans="1:31" x14ac:dyDescent="0.2">
      <c r="A17" s="141" t="s">
        <v>160</v>
      </c>
      <c r="B17" s="165"/>
      <c r="C17" s="165"/>
      <c r="D17" s="165"/>
      <c r="E17" s="165"/>
      <c r="F17" s="166">
        <f>SUM(F11:F16)</f>
        <v>26955374</v>
      </c>
      <c r="G17" s="167">
        <f>+G11+G12</f>
        <v>0</v>
      </c>
      <c r="H17" s="165"/>
      <c r="I17" s="166">
        <f>SUM(I11:I16)</f>
        <v>63000000</v>
      </c>
      <c r="J17" s="167">
        <f>+J11+J12+J15+J16</f>
        <v>0</v>
      </c>
      <c r="K17" s="165"/>
      <c r="L17" s="166">
        <f>(L11+L12+L15+L16)</f>
        <v>35050000</v>
      </c>
      <c r="M17" s="167">
        <v>0</v>
      </c>
      <c r="N17" s="165"/>
      <c r="O17" s="166">
        <f>(O11+O12+O15+O16)</f>
        <v>30500000</v>
      </c>
      <c r="P17" s="167">
        <v>0</v>
      </c>
      <c r="Q17" s="167"/>
      <c r="R17" s="167">
        <f>SUM(R11:R16)</f>
        <v>58703843.5</v>
      </c>
      <c r="T17" s="179" t="s">
        <v>161</v>
      </c>
      <c r="U17" s="180">
        <v>1714286</v>
      </c>
      <c r="V17" s="181">
        <v>1.61E-2</v>
      </c>
      <c r="W17" s="180">
        <f>+U17*V17</f>
        <v>27600.0046</v>
      </c>
      <c r="X17" s="180">
        <f>+U17+W17</f>
        <v>1741886.0046000001</v>
      </c>
      <c r="Y17" s="181">
        <v>5.62E-2</v>
      </c>
      <c r="Z17" s="180">
        <f>+X17*Y17</f>
        <v>97893.99345852001</v>
      </c>
      <c r="AA17" s="182">
        <f>+X17+Z17</f>
        <v>1839779.99805852</v>
      </c>
      <c r="AB17" s="525"/>
      <c r="AE17" s="154">
        <f>SUM(AE11:AE16)</f>
        <v>58703843.5</v>
      </c>
    </row>
    <row r="18" spans="1:31" x14ac:dyDescent="0.2">
      <c r="A18" s="141" t="s">
        <v>162</v>
      </c>
      <c r="B18" s="183"/>
      <c r="C18" s="183"/>
      <c r="D18" s="183"/>
      <c r="E18" s="183"/>
      <c r="F18" s="184"/>
      <c r="G18" s="143"/>
      <c r="H18" s="183"/>
      <c r="I18" s="183"/>
      <c r="J18" s="143"/>
      <c r="K18" s="183"/>
      <c r="L18" s="183"/>
      <c r="M18" s="143"/>
      <c r="N18" s="183"/>
      <c r="O18" s="183"/>
      <c r="P18" s="143"/>
      <c r="Q18" s="145"/>
      <c r="R18" s="145"/>
      <c r="T18" s="179" t="s">
        <v>163</v>
      </c>
      <c r="U18" s="185">
        <v>0</v>
      </c>
      <c r="V18" s="185"/>
      <c r="W18" s="185"/>
      <c r="X18" s="185"/>
      <c r="Y18" s="185">
        <v>0</v>
      </c>
      <c r="Z18" s="185">
        <v>0</v>
      </c>
      <c r="AA18" s="180">
        <v>900000</v>
      </c>
      <c r="AB18" s="525"/>
    </row>
    <row r="19" spans="1:31" x14ac:dyDescent="0.2">
      <c r="A19" s="38" t="s">
        <v>164</v>
      </c>
      <c r="B19" s="186">
        <v>6</v>
      </c>
      <c r="C19" s="187" t="s">
        <v>34</v>
      </c>
      <c r="D19" s="150" t="s">
        <v>28</v>
      </c>
      <c r="E19" s="151">
        <v>10000000</v>
      </c>
      <c r="F19" s="188">
        <f>+B19*E19</f>
        <v>60000000</v>
      </c>
      <c r="G19" s="151">
        <v>0</v>
      </c>
      <c r="H19" s="151">
        <v>18000000</v>
      </c>
      <c r="I19" s="151">
        <f>+H19*B19</f>
        <v>108000000</v>
      </c>
      <c r="J19" s="151">
        <v>0</v>
      </c>
      <c r="K19" s="151">
        <v>14100000</v>
      </c>
      <c r="L19" s="151">
        <f>K19*B19</f>
        <v>84600000</v>
      </c>
      <c r="M19" s="151">
        <v>0</v>
      </c>
      <c r="N19" s="151">
        <v>18000000</v>
      </c>
      <c r="O19" s="151">
        <f>N19*B19</f>
        <v>108000000</v>
      </c>
      <c r="P19" s="151">
        <v>0</v>
      </c>
      <c r="Q19" s="132">
        <f t="shared" ref="Q19:Q21" si="7">AVERAGE(E19,H19,K19,N19)</f>
        <v>15025000</v>
      </c>
      <c r="R19" s="132">
        <f>Q19*B19</f>
        <v>90150000</v>
      </c>
      <c r="AD19" s="154" t="e">
        <f>AVERAGE(E19,H19,#REF!,K19,N19)</f>
        <v>#REF!</v>
      </c>
      <c r="AE19" s="154">
        <f>Q19*B19</f>
        <v>90150000</v>
      </c>
    </row>
    <row r="20" spans="1:31" ht="24" x14ac:dyDescent="0.2">
      <c r="A20" s="38" t="s">
        <v>165</v>
      </c>
      <c r="B20" s="186">
        <v>1</v>
      </c>
      <c r="C20" s="189" t="s">
        <v>27</v>
      </c>
      <c r="D20" s="150" t="s">
        <v>28</v>
      </c>
      <c r="E20" s="151">
        <v>20000000</v>
      </c>
      <c r="F20" s="188">
        <f>+B20*E20</f>
        <v>20000000</v>
      </c>
      <c r="G20" s="151">
        <v>0</v>
      </c>
      <c r="H20" s="151">
        <v>25000000</v>
      </c>
      <c r="I20" s="151">
        <f>+H20*B20</f>
        <v>25000000</v>
      </c>
      <c r="J20" s="151">
        <v>0</v>
      </c>
      <c r="K20" s="151">
        <v>49806000</v>
      </c>
      <c r="L20" s="151">
        <f>K20*B20</f>
        <v>49806000</v>
      </c>
      <c r="M20" s="151">
        <v>0</v>
      </c>
      <c r="N20" s="151">
        <v>20000000</v>
      </c>
      <c r="O20" s="151">
        <f>N20*B20</f>
        <v>20000000</v>
      </c>
      <c r="P20" s="151">
        <v>0</v>
      </c>
      <c r="Q20" s="132">
        <f t="shared" si="7"/>
        <v>28701500</v>
      </c>
      <c r="R20" s="132">
        <f>Q20*B20</f>
        <v>28701500</v>
      </c>
      <c r="AD20" s="154" t="e">
        <f>AVERAGE(E20,H20,#REF!,K20,N20)</f>
        <v>#REF!</v>
      </c>
      <c r="AE20" s="154">
        <f t="shared" ref="AE20:AE21" si="8">Q20*B20</f>
        <v>28701500</v>
      </c>
    </row>
    <row r="21" spans="1:31" x14ac:dyDescent="0.2">
      <c r="A21" s="190" t="s">
        <v>166</v>
      </c>
      <c r="B21" s="186">
        <v>1</v>
      </c>
      <c r="C21" s="189" t="s">
        <v>27</v>
      </c>
      <c r="D21" s="150" t="s">
        <v>28</v>
      </c>
      <c r="E21" s="151">
        <v>40000000</v>
      </c>
      <c r="F21" s="188">
        <f>+B21*E21</f>
        <v>40000000</v>
      </c>
      <c r="G21" s="151">
        <v>0</v>
      </c>
      <c r="H21" s="151">
        <v>45000000</v>
      </c>
      <c r="I21" s="151">
        <f>+H21*B21</f>
        <v>45000000</v>
      </c>
      <c r="J21" s="151">
        <v>0</v>
      </c>
      <c r="K21" s="151">
        <v>20000000</v>
      </c>
      <c r="L21" s="151">
        <f>K21*B21</f>
        <v>20000000</v>
      </c>
      <c r="M21" s="151">
        <v>0</v>
      </c>
      <c r="N21" s="151">
        <v>30000000</v>
      </c>
      <c r="O21" s="151">
        <f>N21*B21</f>
        <v>30000000</v>
      </c>
      <c r="P21" s="151">
        <v>0</v>
      </c>
      <c r="Q21" s="132">
        <f t="shared" si="7"/>
        <v>33750000</v>
      </c>
      <c r="R21" s="132">
        <f>Q21*B21</f>
        <v>33750000</v>
      </c>
      <c r="AD21" s="154" t="e">
        <f>AVERAGE(E21,H21,#REF!,K21,N21)</f>
        <v>#REF!</v>
      </c>
      <c r="AE21" s="154">
        <f t="shared" si="8"/>
        <v>33750000</v>
      </c>
    </row>
    <row r="22" spans="1:31" x14ac:dyDescent="0.2">
      <c r="A22" s="141" t="s">
        <v>167</v>
      </c>
      <c r="B22" s="165"/>
      <c r="C22" s="165"/>
      <c r="D22" s="165"/>
      <c r="E22" s="165"/>
      <c r="F22" s="166">
        <f>SUM(F19:F21)</f>
        <v>120000000</v>
      </c>
      <c r="G22" s="167">
        <f>+G17+G18+G19</f>
        <v>0</v>
      </c>
      <c r="H22" s="165"/>
      <c r="I22" s="166">
        <f>SUM(I19:I21)</f>
        <v>178000000</v>
      </c>
      <c r="J22" s="167">
        <f>+J17+J18+J19</f>
        <v>0</v>
      </c>
      <c r="K22" s="132">
        <v>0</v>
      </c>
      <c r="L22" s="166">
        <f>SUM(L19:L21)</f>
        <v>154406000</v>
      </c>
      <c r="M22" s="167">
        <v>0</v>
      </c>
      <c r="N22" s="132">
        <v>0</v>
      </c>
      <c r="O22" s="166">
        <f>SUM(O19:O21)</f>
        <v>158000000</v>
      </c>
      <c r="P22" s="167">
        <v>0</v>
      </c>
      <c r="Q22" s="167"/>
      <c r="R22" s="167">
        <f>SUM(R19:R21)</f>
        <v>152601500</v>
      </c>
      <c r="Y22" s="146"/>
      <c r="Z22" s="146"/>
      <c r="AE22" s="154">
        <f>SUM(AE19:AE21)</f>
        <v>152601500</v>
      </c>
    </row>
    <row r="23" spans="1:31" ht="16.5" thickBot="1" x14ac:dyDescent="0.25">
      <c r="A23" s="191" t="s">
        <v>168</v>
      </c>
      <c r="B23" s="165"/>
      <c r="C23" s="165"/>
      <c r="D23" s="165"/>
      <c r="E23" s="165"/>
      <c r="F23" s="192">
        <f>SUM(F9+F17+F22)</f>
        <v>395155374</v>
      </c>
      <c r="G23" s="167">
        <f>+G18+G19+G20</f>
        <v>0</v>
      </c>
      <c r="H23" s="165"/>
      <c r="I23" s="192">
        <f>(I9+I17+I22)</f>
        <v>375400000</v>
      </c>
      <c r="J23" s="193">
        <f>SUM(J19:J22)</f>
        <v>0</v>
      </c>
      <c r="K23" s="194"/>
      <c r="L23" s="192">
        <f>(L9+L17+L22)</f>
        <v>254656000</v>
      </c>
      <c r="M23" s="193">
        <f>SUM(M19:M22)</f>
        <v>0</v>
      </c>
      <c r="N23" s="194"/>
      <c r="O23" s="192">
        <f>(O9+O17+O22)</f>
        <v>729500000</v>
      </c>
      <c r="P23" s="193">
        <f>SUM(P19:P22)</f>
        <v>0</v>
      </c>
      <c r="Q23" s="195"/>
      <c r="R23" s="196">
        <f>SUM(R9,R17,R22)</f>
        <v>473305343.5</v>
      </c>
      <c r="AE23" s="154">
        <f>AE9+AE17+AE22</f>
        <v>473305343.5</v>
      </c>
    </row>
    <row r="24" spans="1:31" ht="13.5" thickBot="1" x14ac:dyDescent="0.25">
      <c r="A24" s="526" t="s">
        <v>169</v>
      </c>
      <c r="B24" s="527"/>
      <c r="C24" s="527"/>
      <c r="D24" s="528"/>
      <c r="E24" s="197">
        <v>0.4</v>
      </c>
      <c r="F24" s="198">
        <v>131662150</v>
      </c>
      <c r="G24" s="167">
        <f>+G19+G20+G21</f>
        <v>0</v>
      </c>
      <c r="H24" s="197">
        <v>0.12</v>
      </c>
      <c r="I24" s="198">
        <f>((I9+I17)*H24)</f>
        <v>23688000</v>
      </c>
      <c r="J24" s="199"/>
      <c r="K24" s="200">
        <v>0.1</v>
      </c>
      <c r="L24" s="198">
        <f>((L9+L17)*K24)</f>
        <v>10025000</v>
      </c>
      <c r="M24" s="199"/>
      <c r="N24" s="200">
        <v>0.12</v>
      </c>
      <c r="O24" s="198">
        <f>((O9+O17)*N24)</f>
        <v>68580000</v>
      </c>
      <c r="P24" s="199"/>
      <c r="Q24" s="156">
        <f>AVERAGE(E24,H24,K24,N24)</f>
        <v>0.185</v>
      </c>
      <c r="R24" s="201">
        <f>+R23*Q24</f>
        <v>87561488.547499999</v>
      </c>
      <c r="AD24" s="146" t="e">
        <f>AVERAGE(E24,H24,#REF!,K24,N24)</f>
        <v>#REF!</v>
      </c>
    </row>
    <row r="25" spans="1:31" ht="16.5" thickBot="1" x14ac:dyDescent="0.25">
      <c r="A25" s="191" t="s">
        <v>170</v>
      </c>
      <c r="B25" s="165"/>
      <c r="C25" s="165"/>
      <c r="D25" s="165"/>
      <c r="E25" s="165"/>
      <c r="F25" s="192">
        <f>F23+F24</f>
        <v>526817524</v>
      </c>
      <c r="G25" s="167">
        <f>+G20+G21+G22</f>
        <v>0</v>
      </c>
      <c r="H25" s="165"/>
      <c r="I25" s="192">
        <f>SUM(I23:I24)</f>
        <v>399088000</v>
      </c>
      <c r="J25" s="193">
        <f>SUM(J24:J24)</f>
        <v>0</v>
      </c>
      <c r="K25" s="194"/>
      <c r="L25" s="192">
        <f>SUM(L23:L24)</f>
        <v>264681000</v>
      </c>
      <c r="M25" s="193">
        <f>SUM(M24:M24)</f>
        <v>0</v>
      </c>
      <c r="N25" s="194"/>
      <c r="O25" s="192">
        <f>SUM(O23:O24)</f>
        <v>798080000</v>
      </c>
      <c r="P25" s="193">
        <f>SUM(P24:P24)</f>
        <v>0</v>
      </c>
      <c r="R25" s="196">
        <f>SUM(R23:R24)</f>
        <v>560866832.04750001</v>
      </c>
    </row>
    <row r="26" spans="1:31" ht="16.5" hidden="1" thickBot="1" x14ac:dyDescent="0.25">
      <c r="A26" s="191" t="s">
        <v>42</v>
      </c>
      <c r="B26" s="165"/>
      <c r="C26" s="165"/>
      <c r="D26" s="165"/>
      <c r="E26" s="202">
        <v>0.19</v>
      </c>
      <c r="F26" s="192">
        <v>0</v>
      </c>
      <c r="G26" s="167"/>
      <c r="H26" s="202">
        <v>0</v>
      </c>
      <c r="I26" s="192">
        <f>I25*H26</f>
        <v>0</v>
      </c>
      <c r="J26" s="203"/>
      <c r="K26" s="204">
        <v>0.19</v>
      </c>
      <c r="L26" s="192">
        <v>0</v>
      </c>
      <c r="M26" s="203"/>
      <c r="N26" s="204">
        <v>0.19</v>
      </c>
      <c r="O26" s="192">
        <v>0</v>
      </c>
      <c r="P26" s="203"/>
      <c r="R26" s="205"/>
    </row>
    <row r="27" spans="1:31" ht="13.5" thickBot="1" x14ac:dyDescent="0.25">
      <c r="A27" s="141" t="s">
        <v>171</v>
      </c>
      <c r="B27" s="186">
        <v>1</v>
      </c>
      <c r="C27" s="189" t="s">
        <v>27</v>
      </c>
      <c r="D27" s="150" t="s">
        <v>28</v>
      </c>
      <c r="E27" s="151">
        <v>35000000</v>
      </c>
      <c r="F27" s="188">
        <f>E27*B27</f>
        <v>35000000</v>
      </c>
      <c r="G27" s="167">
        <f>+G21+G22+G23</f>
        <v>0</v>
      </c>
      <c r="H27" s="151">
        <v>35000000</v>
      </c>
      <c r="I27" s="188">
        <f>H27*B27</f>
        <v>35000000</v>
      </c>
      <c r="J27" s="199"/>
      <c r="K27" s="151">
        <v>35000000</v>
      </c>
      <c r="L27" s="188">
        <f>K27*B27</f>
        <v>35000000</v>
      </c>
      <c r="M27" s="199"/>
      <c r="N27" s="151">
        <v>35000000</v>
      </c>
      <c r="O27" s="188">
        <f>N27*B27</f>
        <v>35000000</v>
      </c>
      <c r="P27" s="199"/>
      <c r="R27" s="201"/>
    </row>
    <row r="28" spans="1:31" x14ac:dyDescent="0.2">
      <c r="A28" s="206"/>
      <c r="B28" s="206"/>
      <c r="C28" s="206"/>
      <c r="D28" s="207"/>
      <c r="E28" s="206"/>
      <c r="F28" s="208"/>
      <c r="G28" s="209"/>
    </row>
    <row r="29" spans="1:31" ht="13.5" thickBot="1" x14ac:dyDescent="0.25">
      <c r="A29" s="206"/>
      <c r="B29" s="206"/>
      <c r="C29" s="206"/>
      <c r="D29" s="207"/>
      <c r="E29" s="206"/>
      <c r="F29" s="208"/>
      <c r="G29" s="209"/>
    </row>
    <row r="30" spans="1:31" ht="13.5" thickBot="1" x14ac:dyDescent="0.25">
      <c r="A30" s="210" t="s">
        <v>172</v>
      </c>
      <c r="B30" s="211"/>
      <c r="C30" s="211"/>
      <c r="D30" s="211"/>
      <c r="E30" s="211"/>
      <c r="F30" s="212">
        <f>(F25+F26+F27)</f>
        <v>561817524</v>
      </c>
      <c r="G30" s="213">
        <v>168545256</v>
      </c>
      <c r="I30" s="212">
        <f>SUM(I25+I26+I27)</f>
        <v>434088000</v>
      </c>
      <c r="J30" s="214">
        <v>43408800</v>
      </c>
      <c r="L30" s="212">
        <f>(L25+L26+L27)</f>
        <v>299681000</v>
      </c>
      <c r="M30" s="214">
        <v>128500000</v>
      </c>
      <c r="O30" s="212">
        <f>(O25+O26+O27)</f>
        <v>833080000</v>
      </c>
      <c r="P30" s="214">
        <v>0</v>
      </c>
      <c r="Q30" s="215" t="s">
        <v>173</v>
      </c>
      <c r="R30" s="215" t="e">
        <f>+#REF!+#REF!</f>
        <v>#REF!</v>
      </c>
      <c r="AD30" s="146" t="e">
        <f>AVERAGE(E30,H30,#REF!,K30,N30)</f>
        <v>#REF!</v>
      </c>
    </row>
    <row r="31" spans="1:31" ht="13.5" thickBot="1" x14ac:dyDescent="0.25">
      <c r="A31" s="210" t="s">
        <v>174</v>
      </c>
      <c r="B31" s="211"/>
      <c r="C31" s="211"/>
      <c r="D31" s="211"/>
      <c r="E31" s="211"/>
      <c r="F31" s="216">
        <f>G32</f>
        <v>0.23076922950536993</v>
      </c>
      <c r="G31" s="217">
        <f>+G30/F35</f>
        <v>0.23076922950536993</v>
      </c>
      <c r="H31" s="154"/>
      <c r="I31" s="216">
        <f>J32</f>
        <v>9.0909090909090912E-2</v>
      </c>
      <c r="J31" s="218">
        <f>+J30/I35</f>
        <v>9.0909090909090912E-2</v>
      </c>
      <c r="K31" s="154"/>
      <c r="L31" s="219">
        <f>M32</f>
        <v>0.30010673056487791</v>
      </c>
      <c r="M31" s="218">
        <f>+M30/L35</f>
        <v>0.30010673056487791</v>
      </c>
      <c r="N31" s="154"/>
      <c r="O31" s="219">
        <f>P32</f>
        <v>0</v>
      </c>
      <c r="P31" s="218">
        <f>+P30/O30</f>
        <v>0</v>
      </c>
    </row>
    <row r="32" spans="1:31" ht="13.5" thickBot="1" x14ac:dyDescent="0.25">
      <c r="G32" s="220">
        <f>+G31</f>
        <v>0.23076922950536993</v>
      </c>
      <c r="H32" s="221"/>
      <c r="I32" s="221"/>
      <c r="J32" s="222">
        <f>J31</f>
        <v>9.0909090909090912E-2</v>
      </c>
      <c r="K32" s="221"/>
      <c r="L32" s="221"/>
      <c r="M32" s="223">
        <f>M31</f>
        <v>0.30010673056487791</v>
      </c>
      <c r="N32" s="221"/>
      <c r="O32" s="221"/>
      <c r="P32" s="223">
        <f>P31</f>
        <v>0</v>
      </c>
      <c r="Q32" s="224">
        <v>0.14000000000000001</v>
      </c>
      <c r="R32" s="215" t="e">
        <f>+R30*Q32</f>
        <v>#REF!</v>
      </c>
      <c r="S32" s="225" t="s">
        <v>175</v>
      </c>
    </row>
    <row r="34" spans="1:22" x14ac:dyDescent="0.2">
      <c r="L34" s="154"/>
      <c r="Q34" s="224">
        <f>0.86-Q32%</f>
        <v>0.85860000000000003</v>
      </c>
      <c r="R34" s="226" t="e">
        <f>+R30-R32</f>
        <v>#REF!</v>
      </c>
      <c r="S34" s="227" t="s">
        <v>176</v>
      </c>
    </row>
    <row r="35" spans="1:22" ht="15.75" x14ac:dyDescent="0.25">
      <c r="A35" s="228" t="s">
        <v>177</v>
      </c>
      <c r="B35" s="228"/>
      <c r="C35" s="228"/>
      <c r="D35" s="228"/>
      <c r="E35" s="228"/>
      <c r="F35" s="229">
        <f>F30+G30</f>
        <v>730362780</v>
      </c>
      <c r="G35" s="228"/>
      <c r="H35" s="228"/>
      <c r="I35" s="229">
        <f>I30+J30</f>
        <v>477496800</v>
      </c>
      <c r="J35" s="228"/>
      <c r="K35" s="228"/>
      <c r="L35" s="229">
        <f>L30+M30</f>
        <v>428181000</v>
      </c>
      <c r="M35" s="228"/>
      <c r="N35" s="228"/>
      <c r="O35" s="229">
        <f>O30+P30</f>
        <v>833080000</v>
      </c>
      <c r="P35" s="230"/>
    </row>
    <row r="37" spans="1:22" hidden="1" x14ac:dyDescent="0.2">
      <c r="P37" s="231" t="s">
        <v>178</v>
      </c>
      <c r="Q37" s="539" t="s">
        <v>179</v>
      </c>
      <c r="R37" s="540"/>
      <c r="S37" s="540"/>
      <c r="T37" s="540"/>
      <c r="U37" s="540"/>
      <c r="V37" s="541"/>
    </row>
    <row r="38" spans="1:22" hidden="1" x14ac:dyDescent="0.2">
      <c r="P38" s="232" t="s">
        <v>180</v>
      </c>
      <c r="Q38" s="542" t="s">
        <v>180</v>
      </c>
      <c r="R38" s="542" t="s">
        <v>176</v>
      </c>
      <c r="S38" s="542" t="s">
        <v>181</v>
      </c>
      <c r="T38" s="542"/>
      <c r="U38" s="542"/>
      <c r="V38" s="542" t="s">
        <v>182</v>
      </c>
    </row>
    <row r="39" spans="1:22" hidden="1" x14ac:dyDescent="0.2">
      <c r="P39" s="234" t="s">
        <v>183</v>
      </c>
      <c r="Q39" s="542"/>
      <c r="R39" s="542"/>
      <c r="S39" s="233" t="s">
        <v>39</v>
      </c>
      <c r="T39" s="233" t="s">
        <v>150</v>
      </c>
      <c r="U39" s="233" t="s">
        <v>184</v>
      </c>
      <c r="V39" s="542"/>
    </row>
    <row r="40" spans="1:22" hidden="1" x14ac:dyDescent="0.2">
      <c r="P40" s="234" t="s">
        <v>185</v>
      </c>
      <c r="Q40" s="235" t="s">
        <v>183</v>
      </c>
      <c r="R40" s="185">
        <f>+V40-T40</f>
        <v>600712582.86390531</v>
      </c>
      <c r="S40" s="236">
        <f>+G32</f>
        <v>0.23076922950536993</v>
      </c>
      <c r="T40" s="185">
        <f>+F30*S40</f>
        <v>129650197.13609467</v>
      </c>
      <c r="U40" s="169" t="s">
        <v>186</v>
      </c>
      <c r="V40" s="185">
        <f>F35</f>
        <v>730362780</v>
      </c>
    </row>
    <row r="41" spans="1:22" hidden="1" x14ac:dyDescent="0.2">
      <c r="P41" s="234" t="s">
        <v>187</v>
      </c>
      <c r="Q41" s="533" t="s">
        <v>185</v>
      </c>
      <c r="R41" s="534" t="e">
        <f>+V41-T41-T42</f>
        <v>#REF!</v>
      </c>
      <c r="S41" s="237" t="e">
        <f>+#REF!</f>
        <v>#REF!</v>
      </c>
      <c r="T41" s="185" t="e">
        <f>+I30*S41</f>
        <v>#REF!</v>
      </c>
      <c r="U41" s="169" t="s">
        <v>188</v>
      </c>
      <c r="V41" s="534">
        <v>1065209596</v>
      </c>
    </row>
    <row r="42" spans="1:22" hidden="1" x14ac:dyDescent="0.2">
      <c r="P42" s="234" t="s">
        <v>189</v>
      </c>
      <c r="Q42" s="533"/>
      <c r="R42" s="534"/>
      <c r="S42" s="238">
        <f>+J31</f>
        <v>9.0909090909090912E-2</v>
      </c>
      <c r="T42" s="185">
        <f>+I30*S42</f>
        <v>39462545.454545453</v>
      </c>
      <c r="U42" s="169" t="s">
        <v>186</v>
      </c>
      <c r="V42" s="534"/>
    </row>
    <row r="43" spans="1:22" hidden="1" x14ac:dyDescent="0.2">
      <c r="P43" s="239" t="s">
        <v>190</v>
      </c>
      <c r="Q43" s="235" t="s">
        <v>187</v>
      </c>
      <c r="R43" s="185" t="e">
        <f>+V43-T43</f>
        <v>#REF!</v>
      </c>
      <c r="S43" s="236" t="e">
        <f>+#REF!</f>
        <v>#REF!</v>
      </c>
      <c r="T43" s="185" t="e">
        <f>+#REF!*S43</f>
        <v>#REF!</v>
      </c>
      <c r="U43" s="169" t="s">
        <v>188</v>
      </c>
      <c r="V43" s="185">
        <v>869000000</v>
      </c>
    </row>
    <row r="44" spans="1:22" hidden="1" x14ac:dyDescent="0.2">
      <c r="P44" s="239" t="s">
        <v>191</v>
      </c>
      <c r="Q44" s="235" t="s">
        <v>189</v>
      </c>
      <c r="R44" s="185" t="e">
        <f>+V44-T44</f>
        <v>#REF!</v>
      </c>
      <c r="S44" s="238" t="e">
        <f>+#REF!</f>
        <v>#REF!</v>
      </c>
      <c r="T44" s="185" t="e">
        <f>+L30*S44</f>
        <v>#REF!</v>
      </c>
      <c r="U44" s="169" t="s">
        <v>188</v>
      </c>
      <c r="V44" s="185">
        <v>885808000</v>
      </c>
    </row>
    <row r="45" spans="1:22" hidden="1" x14ac:dyDescent="0.2">
      <c r="Q45" s="235" t="s">
        <v>190</v>
      </c>
      <c r="R45" s="185">
        <f>+V45-T45</f>
        <v>1420000000</v>
      </c>
      <c r="S45" s="240">
        <v>0</v>
      </c>
      <c r="T45" s="185">
        <v>0</v>
      </c>
      <c r="U45" s="169"/>
      <c r="V45" s="185">
        <v>1420000000</v>
      </c>
    </row>
    <row r="46" spans="1:22" x14ac:dyDescent="0.2">
      <c r="Q46" s="235" t="s">
        <v>191</v>
      </c>
      <c r="R46" s="185" t="e">
        <f>+V46-T46</f>
        <v>#REF!</v>
      </c>
      <c r="S46" s="240" t="e">
        <f>+#REF!</f>
        <v>#REF!</v>
      </c>
      <c r="T46" s="185" t="e">
        <f>+#REF!*S46</f>
        <v>#REF!</v>
      </c>
      <c r="U46" s="169" t="s">
        <v>188</v>
      </c>
      <c r="V46" s="185">
        <v>2064000004.4740295</v>
      </c>
    </row>
    <row r="47" spans="1:22" x14ac:dyDescent="0.2">
      <c r="I47" s="241"/>
    </row>
    <row r="49" spans="10:13" ht="13.5" thickBot="1" x14ac:dyDescent="0.25"/>
    <row r="50" spans="10:13" ht="13.5" thickBot="1" x14ac:dyDescent="0.25">
      <c r="J50" s="197">
        <v>0.12</v>
      </c>
      <c r="K50" s="200">
        <v>0.1</v>
      </c>
      <c r="L50" s="200">
        <v>0.12</v>
      </c>
      <c r="M50" s="156"/>
    </row>
  </sheetData>
  <protectedRanges>
    <protectedRange sqref="E4:E8 H7" name="Rango1_1"/>
    <protectedRange sqref="E11:E16" name="Rango1_2"/>
    <protectedRange sqref="E19" name="Rango1_3"/>
    <protectedRange sqref="E20:E21 E27 H27 N27 K27" name="Rango1_4"/>
    <protectedRange sqref="H4:H6" name="Rango1_7"/>
    <protectedRange sqref="H11:H16" name="Rango1_9"/>
    <protectedRange sqref="K20:K21 N20:N21 H19:H21" name="Rango1_10"/>
    <protectedRange sqref="K8 K4:K6 N8 N4:N6" name="Rango1_13"/>
    <protectedRange sqref="H8" name="Rango1_8"/>
    <protectedRange sqref="U18:Z18" name="Rango1_2_1"/>
  </protectedRanges>
  <mergeCells count="20">
    <mergeCell ref="Q41:Q42"/>
    <mergeCell ref="R41:R42"/>
    <mergeCell ref="V41:V42"/>
    <mergeCell ref="K1:M1"/>
    <mergeCell ref="N1:P1"/>
    <mergeCell ref="Q1:R1"/>
    <mergeCell ref="Q37:V37"/>
    <mergeCell ref="Q38:Q39"/>
    <mergeCell ref="R38:R39"/>
    <mergeCell ref="S38:U38"/>
    <mergeCell ref="V38:V39"/>
    <mergeCell ref="AD1:AD2"/>
    <mergeCell ref="AB15:AB18"/>
    <mergeCell ref="A24:D24"/>
    <mergeCell ref="A1:A2"/>
    <mergeCell ref="B1:B2"/>
    <mergeCell ref="C1:C2"/>
    <mergeCell ref="D1:D2"/>
    <mergeCell ref="E1:G1"/>
    <mergeCell ref="H1:J1"/>
  </mergeCells>
  <pageMargins left="0.7" right="0.7" top="0.75" bottom="0.75" header="0.3" footer="0.3"/>
  <drawing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D13"/>
  <sheetViews>
    <sheetView workbookViewId="0">
      <selection activeCell="D5" sqref="D5"/>
    </sheetView>
  </sheetViews>
  <sheetFormatPr baseColWidth="10" defaultColWidth="11.42578125" defaultRowHeight="15" x14ac:dyDescent="0.25"/>
  <cols>
    <col min="1" max="1" width="4.140625" customWidth="1"/>
    <col min="2" max="2" width="21.7109375" customWidth="1"/>
    <col min="3" max="3" width="33.42578125" style="9" bestFit="1" customWidth="1"/>
    <col min="4" max="4" width="14.42578125" customWidth="1"/>
    <col min="5" max="5" width="13" customWidth="1"/>
  </cols>
  <sheetData>
    <row r="3" spans="2:4" x14ac:dyDescent="0.25">
      <c r="B3" s="595" t="s">
        <v>63</v>
      </c>
      <c r="C3" s="595"/>
      <c r="D3" s="595"/>
    </row>
    <row r="4" spans="2:4" x14ac:dyDescent="0.25">
      <c r="B4" s="11"/>
      <c r="C4" s="12" t="s">
        <v>64</v>
      </c>
      <c r="D4" s="13">
        <v>43007</v>
      </c>
    </row>
    <row r="5" spans="2:4" ht="15" customHeight="1" x14ac:dyDescent="0.3">
      <c r="B5" s="594" t="s">
        <v>65</v>
      </c>
      <c r="C5" s="101" t="s">
        <v>66</v>
      </c>
      <c r="D5" s="102"/>
    </row>
    <row r="6" spans="2:4" ht="15.75" customHeight="1" x14ac:dyDescent="0.3">
      <c r="B6" s="594"/>
      <c r="C6" s="101" t="s">
        <v>67</v>
      </c>
      <c r="D6" s="102">
        <v>43063</v>
      </c>
    </row>
    <row r="7" spans="2:4" ht="14.25" customHeight="1" x14ac:dyDescent="0.3">
      <c r="B7" s="594" t="s">
        <v>68</v>
      </c>
      <c r="C7" s="101" t="s">
        <v>69</v>
      </c>
      <c r="D7" s="102"/>
    </row>
    <row r="8" spans="2:4" ht="17.25" customHeight="1" x14ac:dyDescent="0.3">
      <c r="B8" s="594"/>
      <c r="C8" s="101" t="s">
        <v>67</v>
      </c>
      <c r="D8" s="102">
        <v>43084</v>
      </c>
    </row>
    <row r="9" spans="2:4" ht="17.25" customHeight="1" x14ac:dyDescent="0.3">
      <c r="B9" s="596" t="s">
        <v>70</v>
      </c>
      <c r="C9" s="101" t="s">
        <v>69</v>
      </c>
      <c r="D9" s="102"/>
    </row>
    <row r="10" spans="2:4" ht="33" x14ac:dyDescent="0.3">
      <c r="B10" s="597"/>
      <c r="C10" s="101" t="s">
        <v>67</v>
      </c>
      <c r="D10" s="102"/>
    </row>
    <row r="11" spans="2:4" ht="15.75" customHeight="1" x14ac:dyDescent="0.3">
      <c r="B11" s="596" t="s">
        <v>71</v>
      </c>
      <c r="C11" s="101" t="s">
        <v>69</v>
      </c>
      <c r="D11" s="102"/>
    </row>
    <row r="12" spans="2:4" ht="15.75" customHeight="1" x14ac:dyDescent="0.3">
      <c r="B12" s="597"/>
      <c r="C12" s="101" t="s">
        <v>67</v>
      </c>
      <c r="D12" s="102">
        <v>43076</v>
      </c>
    </row>
    <row r="13" spans="2:4" ht="15.75" x14ac:dyDescent="0.25">
      <c r="B13" s="14"/>
      <c r="C13" s="15" t="s">
        <v>72</v>
      </c>
      <c r="D13" s="16">
        <v>43159</v>
      </c>
    </row>
  </sheetData>
  <mergeCells count="5">
    <mergeCell ref="B5:B6"/>
    <mergeCell ref="B7:B8"/>
    <mergeCell ref="B3:D3"/>
    <mergeCell ref="B9:B10"/>
    <mergeCell ref="B11:B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5:C40"/>
  <sheetViews>
    <sheetView workbookViewId="0">
      <selection activeCell="C32" sqref="C32:C40"/>
    </sheetView>
  </sheetViews>
  <sheetFormatPr baseColWidth="10" defaultColWidth="11.42578125" defaultRowHeight="15" x14ac:dyDescent="0.25"/>
  <cols>
    <col min="3" max="3" width="13.28515625" customWidth="1"/>
  </cols>
  <sheetData>
    <row r="5" spans="3:3" x14ac:dyDescent="0.25">
      <c r="C5" s="598" t="s">
        <v>73</v>
      </c>
    </row>
    <row r="6" spans="3:3" x14ac:dyDescent="0.25">
      <c r="C6" s="599"/>
    </row>
    <row r="7" spans="3:3" x14ac:dyDescent="0.25">
      <c r="C7" s="600"/>
    </row>
    <row r="8" spans="3:3" x14ac:dyDescent="0.25">
      <c r="C8" s="598" t="s">
        <v>74</v>
      </c>
    </row>
    <row r="9" spans="3:3" x14ac:dyDescent="0.25">
      <c r="C9" s="599"/>
    </row>
    <row r="10" spans="3:3" x14ac:dyDescent="0.25">
      <c r="C10" s="599"/>
    </row>
    <row r="11" spans="3:3" x14ac:dyDescent="0.25">
      <c r="C11" s="600"/>
    </row>
    <row r="12" spans="3:3" x14ac:dyDescent="0.25">
      <c r="C12" s="598" t="s">
        <v>75</v>
      </c>
    </row>
    <row r="13" spans="3:3" x14ac:dyDescent="0.25">
      <c r="C13" s="599"/>
    </row>
    <row r="14" spans="3:3" x14ac:dyDescent="0.25">
      <c r="C14" s="599"/>
    </row>
    <row r="15" spans="3:3" x14ac:dyDescent="0.25">
      <c r="C15" s="599"/>
    </row>
    <row r="16" spans="3:3" x14ac:dyDescent="0.25">
      <c r="C16" s="600"/>
    </row>
    <row r="17" spans="3:3" x14ac:dyDescent="0.25">
      <c r="C17" s="598" t="s">
        <v>76</v>
      </c>
    </row>
    <row r="18" spans="3:3" x14ac:dyDescent="0.25">
      <c r="C18" s="599"/>
    </row>
    <row r="19" spans="3:3" x14ac:dyDescent="0.25">
      <c r="C19" s="599"/>
    </row>
    <row r="20" spans="3:3" x14ac:dyDescent="0.25">
      <c r="C20" s="600"/>
    </row>
    <row r="21" spans="3:3" x14ac:dyDescent="0.25">
      <c r="C21" s="598" t="s">
        <v>77</v>
      </c>
    </row>
    <row r="22" spans="3:3" x14ac:dyDescent="0.25">
      <c r="C22" s="599"/>
    </row>
    <row r="23" spans="3:3" x14ac:dyDescent="0.25">
      <c r="C23" s="600"/>
    </row>
    <row r="25" spans="3:3" x14ac:dyDescent="0.25">
      <c r="C25" s="598" t="s">
        <v>78</v>
      </c>
    </row>
    <row r="26" spans="3:3" x14ac:dyDescent="0.25">
      <c r="C26" s="599"/>
    </row>
    <row r="27" spans="3:3" x14ac:dyDescent="0.25">
      <c r="C27" s="599"/>
    </row>
    <row r="28" spans="3:3" x14ac:dyDescent="0.25">
      <c r="C28" s="599"/>
    </row>
    <row r="29" spans="3:3" x14ac:dyDescent="0.25">
      <c r="C29" s="599"/>
    </row>
    <row r="30" spans="3:3" x14ac:dyDescent="0.25">
      <c r="C30" s="600"/>
    </row>
    <row r="32" spans="3:3" x14ac:dyDescent="0.25">
      <c r="C32" s="598" t="s">
        <v>79</v>
      </c>
    </row>
    <row r="33" spans="3:3" x14ac:dyDescent="0.25">
      <c r="C33" s="599"/>
    </row>
    <row r="34" spans="3:3" x14ac:dyDescent="0.25">
      <c r="C34" s="599"/>
    </row>
    <row r="35" spans="3:3" x14ac:dyDescent="0.25">
      <c r="C35" s="599"/>
    </row>
    <row r="36" spans="3:3" x14ac:dyDescent="0.25">
      <c r="C36" s="599"/>
    </row>
    <row r="37" spans="3:3" x14ac:dyDescent="0.25">
      <c r="C37" s="599"/>
    </row>
    <row r="38" spans="3:3" x14ac:dyDescent="0.25">
      <c r="C38" s="599"/>
    </row>
    <row r="39" spans="3:3" x14ac:dyDescent="0.25">
      <c r="C39" s="599"/>
    </row>
    <row r="40" spans="3:3" x14ac:dyDescent="0.25">
      <c r="C40" s="600"/>
    </row>
  </sheetData>
  <mergeCells count="7">
    <mergeCell ref="C32:C40"/>
    <mergeCell ref="C5:C7"/>
    <mergeCell ref="C8:C11"/>
    <mergeCell ref="C12:C16"/>
    <mergeCell ref="C17:C20"/>
    <mergeCell ref="C21:C23"/>
    <mergeCell ref="C25:C3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7FB25635E56744F8AFD237FF87D885B" ma:contentTypeVersion="15" ma:contentTypeDescription="Crear nuevo documento." ma:contentTypeScope="" ma:versionID="7f35ed0ca6195fd2e203bb79c08d2dc0">
  <xsd:schema xmlns:xsd="http://www.w3.org/2001/XMLSchema" xmlns:xs="http://www.w3.org/2001/XMLSchema" xmlns:p="http://schemas.microsoft.com/office/2006/metadata/properties" xmlns:ns3="aa77752e-89ee-48dd-9197-87de00af24d0" xmlns:ns4="38ebf372-0cbd-4dea-80b9-8e0d087685aa" targetNamespace="http://schemas.microsoft.com/office/2006/metadata/properties" ma:root="true" ma:fieldsID="7d3bfc1e46f09a02ed3c655fad182c62" ns3:_="" ns4:_="">
    <xsd:import namespace="aa77752e-89ee-48dd-9197-87de00af24d0"/>
    <xsd:import namespace="38ebf372-0cbd-4dea-80b9-8e0d087685a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4:SharedWithUsers" minOccurs="0"/>
                <xsd:element ref="ns4:SharedWithDetails" minOccurs="0"/>
                <xsd:element ref="ns4:SharingHintHash" minOccurs="0"/>
                <xsd:element ref="ns3:MediaServiceEventHashCode" minOccurs="0"/>
                <xsd:element ref="ns3:MediaServiceGenerationTime" minOccurs="0"/>
                <xsd:element ref="ns3:MediaServiceAutoKeyPoints" minOccurs="0"/>
                <xsd:element ref="ns3:MediaServiceKeyPoints"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77752e-89ee-48dd-9197-87de00af24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8ebf372-0cbd-4dea-80b9-8e0d087685aa"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SharingHintHash" ma:index="15"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a77752e-89ee-48dd-9197-87de00af24d0" xsi:nil="true"/>
  </documentManagement>
</p:properties>
</file>

<file path=customXml/itemProps1.xml><?xml version="1.0" encoding="utf-8"?>
<ds:datastoreItem xmlns:ds="http://schemas.openxmlformats.org/officeDocument/2006/customXml" ds:itemID="{CE542570-107F-4680-A21E-01B7DBFB1EB3}">
  <ds:schemaRefs>
    <ds:schemaRef ds:uri="http://schemas.microsoft.com/sharepoint/v3/contenttype/forms"/>
  </ds:schemaRefs>
</ds:datastoreItem>
</file>

<file path=customXml/itemProps2.xml><?xml version="1.0" encoding="utf-8"?>
<ds:datastoreItem xmlns:ds="http://schemas.openxmlformats.org/officeDocument/2006/customXml" ds:itemID="{51C54A0A-7FED-4612-83B5-07971170A0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77752e-89ee-48dd-9197-87de00af24d0"/>
    <ds:schemaRef ds:uri="38ebf372-0cbd-4dea-80b9-8e0d087685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6F51EF-9F32-4A9F-9CE2-C8B5A07598DA}">
  <ds:schemaRefs>
    <ds:schemaRef ds:uri="http://schemas.microsoft.com/office/2006/metadata/properties"/>
    <ds:schemaRef ds:uri="http://schemas.microsoft.com/office/infopath/2007/PartnerControls"/>
    <ds:schemaRef ds:uri="aa77752e-89ee-48dd-9197-87de00af24d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Solicitud Información Cotizante</vt:lpstr>
      <vt:lpstr>Detalle de costos sin ajuste</vt:lpstr>
      <vt:lpstr>historico MEN</vt:lpstr>
      <vt:lpstr>A. mercado_ gestión Editorial  </vt:lpstr>
      <vt:lpstr>Gtos administración_ viaticos</vt:lpstr>
      <vt:lpstr>Analisis de mercado_ honorarios</vt:lpstr>
      <vt:lpstr>comparativo</vt:lpstr>
      <vt:lpstr>Eventos y herramientas </vt:lpstr>
      <vt:lpstr>TRAYECTOS</vt:lpstr>
      <vt:lpstr>Hoja3</vt:lpstr>
      <vt:lpstr>presupuesto proyectado MEN  </vt:lpstr>
      <vt:lpstr>plazo del contrato</vt:lpstr>
      <vt:lpstr>Hoja1</vt:lpstr>
      <vt:lpstr>'Detalle de costos sin ajuste'!Área_de_impresión</vt:lpstr>
      <vt:lpstr>'Solicitud Información Cotizante'!Área_de_impresión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Ximena Andrea Quesada Moreno</dc:creator>
  <cp:keywords/>
  <dc:description/>
  <cp:lastModifiedBy>Magaly Alvarez Mahecha</cp:lastModifiedBy>
  <cp:revision/>
  <dcterms:created xsi:type="dcterms:W3CDTF">2017-04-18T22:41:43Z</dcterms:created>
  <dcterms:modified xsi:type="dcterms:W3CDTF">2023-08-31T15:40:00Z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0x01010097FB25635E56744F8AFD237FF87D885B</vt:lpwstr>
  </property>
</Properties>
</file>