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ria\OneDrive\Escritorio\invitaciones tabacal\"/>
    </mc:Choice>
  </mc:AlternateContent>
  <bookViews>
    <workbookView xWindow="0" yWindow="0" windowWidth="20490" windowHeight="7635" tabRatio="784"/>
  </bookViews>
  <sheets>
    <sheet name="TABACAL" sheetId="164" r:id="rId1"/>
    <sheet name="DISCRIMINACION AU" sheetId="202" r:id="rId2"/>
    <sheet name="factor multiplicador" sheetId="203" r:id="rId3"/>
    <sheet name="inversion ambiental" sheetId="204" r:id="rId4"/>
    <sheet name="insumos-MO" sheetId="2" r:id="rId5"/>
    <sheet name="1.1 " sheetId="4" r:id="rId6"/>
    <sheet name="2,1" sheetId="165" r:id="rId7"/>
    <sheet name="2,2" sheetId="167" r:id="rId8"/>
    <sheet name="2,3" sheetId="168" r:id="rId9"/>
    <sheet name="2,4" sheetId="169" r:id="rId10"/>
    <sheet name="2,5" sheetId="170" r:id="rId11"/>
    <sheet name="3,1" sheetId="171" r:id="rId12"/>
    <sheet name="3,2" sheetId="172" r:id="rId13"/>
    <sheet name="3,3" sheetId="173" r:id="rId14"/>
    <sheet name="4,1" sheetId="174" r:id="rId15"/>
    <sheet name="4,2" sheetId="175" r:id="rId16"/>
    <sheet name="4,3" sheetId="176" r:id="rId17"/>
    <sheet name="5,1" sheetId="177" r:id="rId18"/>
    <sheet name="5,2" sheetId="178" r:id="rId19"/>
    <sheet name="5,3" sheetId="179" r:id="rId20"/>
    <sheet name="6,1" sheetId="180" r:id="rId21"/>
    <sheet name="6,2" sheetId="181" r:id="rId22"/>
    <sheet name="6,3" sheetId="182" r:id="rId23"/>
    <sheet name="6,4" sheetId="183" r:id="rId24"/>
    <sheet name="7,1" sheetId="184" r:id="rId25"/>
    <sheet name="7,2" sheetId="185" r:id="rId26"/>
    <sheet name="7,3" sheetId="186" r:id="rId27"/>
    <sheet name="7,4" sheetId="187" r:id="rId28"/>
    <sheet name="8.1.1" sheetId="188" r:id="rId29"/>
    <sheet name="8.1.2" sheetId="189" r:id="rId30"/>
    <sheet name="8.1.3" sheetId="190" r:id="rId31"/>
    <sheet name="8.1.4" sheetId="191" r:id="rId32"/>
    <sheet name="8.2.1" sheetId="192" r:id="rId33"/>
    <sheet name="8.3.1" sheetId="193" r:id="rId34"/>
    <sheet name="8.3.2" sheetId="194" r:id="rId35"/>
    <sheet name="8.3.3" sheetId="195" r:id="rId36"/>
    <sheet name="8.3.4" sheetId="196" r:id="rId37"/>
    <sheet name="8.3.5" sheetId="197" r:id="rId38"/>
    <sheet name="8.6.1" sheetId="198" r:id="rId39"/>
    <sheet name="8.6.2" sheetId="199" r:id="rId40"/>
    <sheet name="8.6.3" sheetId="200" r:id="rId41"/>
  </sheets>
  <definedNames>
    <definedName name="_xlnm._FilterDatabase" localSheetId="0" hidden="1">TABACAL!$A$4:$F$51</definedName>
    <definedName name="_xlnm.Print_Area" localSheetId="0">TABACAL!$A$1:$F$62</definedName>
  </definedNames>
  <calcPr calcId="191029"/>
</workbook>
</file>

<file path=xl/calcChain.xml><?xml version="1.0" encoding="utf-8"?>
<calcChain xmlns="http://schemas.openxmlformats.org/spreadsheetml/2006/main">
  <c r="E6" i="2" l="1"/>
  <c r="F40" i="204"/>
  <c r="F41" i="204"/>
  <c r="F42" i="204"/>
  <c r="F43" i="204"/>
  <c r="F30" i="204"/>
  <c r="F32" i="204"/>
  <c r="F34" i="204"/>
  <c r="F35" i="204"/>
  <c r="F36" i="204"/>
  <c r="F37" i="204"/>
  <c r="F38" i="204"/>
  <c r="F31" i="204"/>
  <c r="F29" i="204"/>
  <c r="F28" i="204"/>
  <c r="F26" i="204"/>
  <c r="F25" i="204"/>
  <c r="F24" i="204"/>
  <c r="F22" i="204"/>
  <c r="F20" i="204"/>
  <c r="F18" i="204"/>
  <c r="F17" i="204"/>
  <c r="F16" i="204"/>
  <c r="F15" i="204"/>
  <c r="F14" i="204"/>
  <c r="F13" i="204"/>
  <c r="F12" i="204"/>
  <c r="F11" i="204"/>
  <c r="F44" i="204" s="1"/>
  <c r="F10" i="204"/>
  <c r="G29" i="202"/>
  <c r="G19" i="202"/>
  <c r="D14" i="203"/>
  <c r="D5" i="203"/>
  <c r="G21" i="202"/>
  <c r="G20" i="202"/>
  <c r="G11" i="202"/>
  <c r="G10" i="202"/>
  <c r="G9" i="202"/>
  <c r="D19" i="203" l="1"/>
  <c r="G15" i="202" s="1"/>
  <c r="G22" i="202"/>
  <c r="G13" i="202"/>
  <c r="F45" i="204" l="1"/>
  <c r="F46" i="204" s="1"/>
  <c r="G16" i="202"/>
  <c r="G7" i="200" l="1"/>
  <c r="B7" i="200"/>
  <c r="G28" i="200"/>
  <c r="G29" i="200" s="1"/>
  <c r="A24" i="200"/>
  <c r="G20" i="200"/>
  <c r="G19" i="200"/>
  <c r="G18" i="200"/>
  <c r="G17" i="200"/>
  <c r="G16" i="200"/>
  <c r="G21" i="200" s="1"/>
  <c r="F7" i="200"/>
  <c r="H32" i="199"/>
  <c r="G7" i="199"/>
  <c r="B7" i="199"/>
  <c r="G28" i="199"/>
  <c r="G29" i="199" s="1"/>
  <c r="A24" i="199"/>
  <c r="G20" i="199"/>
  <c r="G19" i="199"/>
  <c r="G18" i="199"/>
  <c r="G17" i="199"/>
  <c r="G16" i="199"/>
  <c r="F7" i="199"/>
  <c r="H32" i="198"/>
  <c r="G7" i="198"/>
  <c r="B7" i="198"/>
  <c r="G28" i="198"/>
  <c r="G29" i="198" s="1"/>
  <c r="A24" i="198"/>
  <c r="G20" i="198"/>
  <c r="G19" i="198"/>
  <c r="G18" i="198"/>
  <c r="G17" i="198"/>
  <c r="G16" i="198"/>
  <c r="F7" i="198"/>
  <c r="H33" i="197"/>
  <c r="G7" i="197"/>
  <c r="B7" i="197"/>
  <c r="G29" i="197"/>
  <c r="G30" i="197" s="1"/>
  <c r="A25" i="197"/>
  <c r="G21" i="197"/>
  <c r="G20" i="197"/>
  <c r="G19" i="197"/>
  <c r="G18" i="197"/>
  <c r="G17" i="197"/>
  <c r="G16" i="197"/>
  <c r="G22" i="197" s="1"/>
  <c r="F7" i="197"/>
  <c r="H33" i="196"/>
  <c r="G7" i="196"/>
  <c r="B7" i="196"/>
  <c r="G29" i="196"/>
  <c r="G30" i="196" s="1"/>
  <c r="A25" i="196"/>
  <c r="G21" i="196"/>
  <c r="G20" i="196"/>
  <c r="G19" i="196"/>
  <c r="G18" i="196"/>
  <c r="G17" i="196"/>
  <c r="G16" i="196"/>
  <c r="F7" i="196"/>
  <c r="G21" i="195"/>
  <c r="H33" i="195"/>
  <c r="G7" i="195"/>
  <c r="B7" i="195"/>
  <c r="G29" i="195"/>
  <c r="G30" i="195" s="1"/>
  <c r="A25" i="195"/>
  <c r="G20" i="195"/>
  <c r="G19" i="195"/>
  <c r="G18" i="195"/>
  <c r="G17" i="195"/>
  <c r="G16" i="195"/>
  <c r="F7" i="195"/>
  <c r="H32" i="194"/>
  <c r="G7" i="194"/>
  <c r="B7" i="194"/>
  <c r="G29" i="194"/>
  <c r="G28" i="194"/>
  <c r="A24" i="194"/>
  <c r="G20" i="194"/>
  <c r="G19" i="194"/>
  <c r="G18" i="194"/>
  <c r="G17" i="194"/>
  <c r="G16" i="194"/>
  <c r="G21" i="194" s="1"/>
  <c r="F7" i="194"/>
  <c r="G16" i="193"/>
  <c r="G17" i="193"/>
  <c r="G18" i="193"/>
  <c r="G19" i="193"/>
  <c r="G20" i="193"/>
  <c r="H32" i="193"/>
  <c r="G7" i="193"/>
  <c r="F7" i="193"/>
  <c r="B7" i="193"/>
  <c r="G28" i="193"/>
  <c r="G29" i="193" s="1"/>
  <c r="A24" i="193"/>
  <c r="H28" i="192"/>
  <c r="G7" i="192"/>
  <c r="F7" i="192"/>
  <c r="B7" i="192"/>
  <c r="G24" i="192"/>
  <c r="G25" i="192" s="1"/>
  <c r="A20" i="192"/>
  <c r="G16" i="192"/>
  <c r="G17" i="192" s="1"/>
  <c r="H29" i="191"/>
  <c r="G7" i="191"/>
  <c r="B7" i="191"/>
  <c r="G25" i="191"/>
  <c r="G26" i="191" s="1"/>
  <c r="A21" i="191"/>
  <c r="G17" i="191"/>
  <c r="G16" i="191"/>
  <c r="F7" i="191"/>
  <c r="H32" i="190"/>
  <c r="G7" i="190"/>
  <c r="G7" i="189"/>
  <c r="B7" i="190"/>
  <c r="G28" i="190"/>
  <c r="G29" i="190" s="1"/>
  <c r="A24" i="190"/>
  <c r="G20" i="190"/>
  <c r="G19" i="190"/>
  <c r="G18" i="190"/>
  <c r="G17" i="190"/>
  <c r="G16" i="190"/>
  <c r="F7" i="190"/>
  <c r="H32" i="189"/>
  <c r="B7" i="189"/>
  <c r="G28" i="189"/>
  <c r="G29" i="189" s="1"/>
  <c r="A24" i="189"/>
  <c r="G20" i="189"/>
  <c r="G19" i="189"/>
  <c r="G18" i="189"/>
  <c r="G17" i="189"/>
  <c r="G16" i="189"/>
  <c r="F7" i="189"/>
  <c r="G20" i="188"/>
  <c r="G19" i="188"/>
  <c r="H32" i="188"/>
  <c r="G7" i="188"/>
  <c r="B7" i="188"/>
  <c r="G28" i="188"/>
  <c r="G29" i="188" s="1"/>
  <c r="A24" i="188"/>
  <c r="G18" i="188"/>
  <c r="G17" i="188"/>
  <c r="G16" i="188"/>
  <c r="F7" i="188"/>
  <c r="G7" i="187"/>
  <c r="H30" i="187"/>
  <c r="F7" i="187"/>
  <c r="B7" i="187"/>
  <c r="G26" i="187"/>
  <c r="A22" i="187"/>
  <c r="G18" i="187"/>
  <c r="G17" i="187"/>
  <c r="G16" i="187"/>
  <c r="G20" i="186"/>
  <c r="G30" i="186"/>
  <c r="H35" i="186"/>
  <c r="B7" i="186"/>
  <c r="G31" i="186"/>
  <c r="A26" i="186"/>
  <c r="G22" i="186"/>
  <c r="G21" i="186"/>
  <c r="G19" i="186"/>
  <c r="G18" i="186"/>
  <c r="G17" i="186"/>
  <c r="G16" i="186"/>
  <c r="G7" i="186"/>
  <c r="H34" i="185"/>
  <c r="G7" i="185"/>
  <c r="B7" i="185"/>
  <c r="G30" i="185"/>
  <c r="G31" i="185" s="1"/>
  <c r="A26" i="185"/>
  <c r="G22" i="185"/>
  <c r="G21" i="185"/>
  <c r="G20" i="185"/>
  <c r="G19" i="185"/>
  <c r="G18" i="185"/>
  <c r="G17" i="185"/>
  <c r="G16" i="185"/>
  <c r="G23" i="185" s="1"/>
  <c r="A27" i="184"/>
  <c r="G31" i="184"/>
  <c r="G17" i="184"/>
  <c r="G18" i="184"/>
  <c r="G19" i="184"/>
  <c r="G20" i="184"/>
  <c r="G21" i="184"/>
  <c r="G22" i="184"/>
  <c r="G23" i="184"/>
  <c r="H36" i="184"/>
  <c r="G7" i="184"/>
  <c r="B7" i="184"/>
  <c r="G32" i="184"/>
  <c r="G16" i="184"/>
  <c r="G19" i="183"/>
  <c r="G18" i="183"/>
  <c r="H32" i="183"/>
  <c r="G7" i="183"/>
  <c r="B7" i="183"/>
  <c r="G28" i="183"/>
  <c r="G29" i="183" s="1"/>
  <c r="A24" i="183"/>
  <c r="G17" i="183"/>
  <c r="G12" i="183"/>
  <c r="A22" i="182"/>
  <c r="G17" i="182"/>
  <c r="G19" i="182" s="1"/>
  <c r="G12" i="182"/>
  <c r="H30" i="182"/>
  <c r="G7" i="182"/>
  <c r="B7" i="182"/>
  <c r="G26" i="182"/>
  <c r="G27" i="182" s="1"/>
  <c r="G18" i="182"/>
  <c r="F7" i="182"/>
  <c r="H28" i="181"/>
  <c r="G7" i="181"/>
  <c r="B7" i="181"/>
  <c r="A7" i="181"/>
  <c r="G24" i="181"/>
  <c r="G25" i="181" s="1"/>
  <c r="A20" i="181"/>
  <c r="G16" i="181"/>
  <c r="F7" i="181"/>
  <c r="G30" i="180"/>
  <c r="G31" i="180" s="1"/>
  <c r="G21" i="180"/>
  <c r="G18" i="180"/>
  <c r="G19" i="180"/>
  <c r="G20" i="180"/>
  <c r="G22" i="180"/>
  <c r="G17" i="180"/>
  <c r="G12" i="180"/>
  <c r="H34" i="180"/>
  <c r="G7" i="180"/>
  <c r="F7" i="180"/>
  <c r="B7" i="180"/>
  <c r="A7" i="180"/>
  <c r="A26" i="180"/>
  <c r="G32" i="171"/>
  <c r="G33" i="171" s="1"/>
  <c r="H29" i="179"/>
  <c r="G7" i="179"/>
  <c r="F7" i="179"/>
  <c r="B7" i="179"/>
  <c r="A7" i="179"/>
  <c r="G24" i="179"/>
  <c r="G26" i="179" s="1"/>
  <c r="A20" i="179"/>
  <c r="G16" i="179"/>
  <c r="G17" i="179" s="1"/>
  <c r="H29" i="178"/>
  <c r="G7" i="178"/>
  <c r="F7" i="178"/>
  <c r="B7" i="178"/>
  <c r="A7" i="178"/>
  <c r="G24" i="178"/>
  <c r="G26" i="178" s="1"/>
  <c r="A20" i="178"/>
  <c r="G16" i="178"/>
  <c r="G17" i="178" s="1"/>
  <c r="G24" i="177"/>
  <c r="G26" i="177" s="1"/>
  <c r="H29" i="177"/>
  <c r="G7" i="177"/>
  <c r="F7" i="177"/>
  <c r="B7" i="177"/>
  <c r="A7" i="177"/>
  <c r="A20" i="177"/>
  <c r="G16" i="177"/>
  <c r="G17" i="177" s="1"/>
  <c r="A21" i="176"/>
  <c r="E17" i="176"/>
  <c r="G17" i="176" s="1"/>
  <c r="G18" i="176" s="1"/>
  <c r="H30" i="176"/>
  <c r="G7" i="176"/>
  <c r="B7" i="176"/>
  <c r="A7" i="176"/>
  <c r="G27" i="176"/>
  <c r="F12" i="176"/>
  <c r="G12" i="176" s="1"/>
  <c r="F7" i="176"/>
  <c r="F12" i="175"/>
  <c r="G12" i="175" s="1"/>
  <c r="G27" i="175"/>
  <c r="A21" i="175"/>
  <c r="G17" i="175"/>
  <c r="G18" i="175" s="1"/>
  <c r="G7" i="175"/>
  <c r="F7" i="175"/>
  <c r="B7" i="175"/>
  <c r="A7" i="175"/>
  <c r="F12" i="174"/>
  <c r="G12" i="174" s="1"/>
  <c r="H31" i="174"/>
  <c r="E17" i="174"/>
  <c r="G17" i="174" s="1"/>
  <c r="G18" i="174"/>
  <c r="G19" i="174"/>
  <c r="A23" i="174"/>
  <c r="G28" i="174"/>
  <c r="G7" i="174"/>
  <c r="F7" i="174"/>
  <c r="B7" i="174"/>
  <c r="A7" i="174"/>
  <c r="H30" i="173"/>
  <c r="G7" i="173"/>
  <c r="B7" i="173"/>
  <c r="A7" i="173"/>
  <c r="G27" i="173"/>
  <c r="A22" i="173"/>
  <c r="G18" i="173"/>
  <c r="G17" i="173"/>
  <c r="G16" i="173"/>
  <c r="F7" i="173"/>
  <c r="G19" i="172"/>
  <c r="G18" i="172"/>
  <c r="G17" i="172"/>
  <c r="H31" i="172"/>
  <c r="A23" i="172"/>
  <c r="G7" i="172"/>
  <c r="F7" i="172"/>
  <c r="B7" i="172"/>
  <c r="A7" i="172"/>
  <c r="G28" i="172"/>
  <c r="G16" i="172"/>
  <c r="G20" i="172" s="1"/>
  <c r="A28" i="171"/>
  <c r="G17" i="171"/>
  <c r="G18" i="171"/>
  <c r="G19" i="171"/>
  <c r="G20" i="171"/>
  <c r="G21" i="171"/>
  <c r="G22" i="171"/>
  <c r="G23" i="171"/>
  <c r="H36" i="171"/>
  <c r="G7" i="171"/>
  <c r="F7" i="171"/>
  <c r="B7" i="171"/>
  <c r="A7" i="171"/>
  <c r="G16" i="171"/>
  <c r="A21" i="170"/>
  <c r="H29" i="170"/>
  <c r="G7" i="170"/>
  <c r="F7" i="170"/>
  <c r="B7" i="170"/>
  <c r="A7" i="170"/>
  <c r="G25" i="170"/>
  <c r="G26" i="170" s="1"/>
  <c r="G16" i="170"/>
  <c r="G18" i="170" s="1"/>
  <c r="H29" i="169"/>
  <c r="G7" i="169"/>
  <c r="F7" i="169"/>
  <c r="B7" i="169"/>
  <c r="A7" i="169"/>
  <c r="G25" i="169"/>
  <c r="G26" i="169" s="1"/>
  <c r="A21" i="169"/>
  <c r="G16" i="169"/>
  <c r="G18" i="169" s="1"/>
  <c r="A21" i="168"/>
  <c r="H29" i="168"/>
  <c r="G7" i="168"/>
  <c r="F7" i="168"/>
  <c r="B7" i="168"/>
  <c r="A7" i="168"/>
  <c r="G25" i="168"/>
  <c r="G26" i="168" s="1"/>
  <c r="G16" i="168"/>
  <c r="G18" i="168" s="1"/>
  <c r="G25" i="167"/>
  <c r="G28" i="165"/>
  <c r="G28" i="4"/>
  <c r="A21" i="167"/>
  <c r="H29" i="167"/>
  <c r="G12" i="165"/>
  <c r="G23" i="186" l="1"/>
  <c r="G21" i="188"/>
  <c r="G21" i="183"/>
  <c r="G21" i="199"/>
  <c r="G25" i="171"/>
  <c r="G24" i="184"/>
  <c r="G21" i="189"/>
  <c r="G22" i="196"/>
  <c r="G19" i="187"/>
  <c r="G19" i="173"/>
  <c r="G33" i="184"/>
  <c r="G21" i="190"/>
  <c r="G21" i="193"/>
  <c r="G22" i="195"/>
  <c r="G23" i="180"/>
  <c r="G21" i="198"/>
  <c r="G18" i="191"/>
  <c r="G27" i="187"/>
  <c r="G32" i="186"/>
  <c r="G17" i="181"/>
  <c r="G20" i="174"/>
  <c r="G7" i="167"/>
  <c r="F7" i="167"/>
  <c r="A7" i="167"/>
  <c r="B7" i="167"/>
  <c r="G26" i="167"/>
  <c r="G16" i="167"/>
  <c r="G18" i="167" s="1"/>
  <c r="G29" i="165"/>
  <c r="H32" i="165"/>
  <c r="G29" i="2"/>
  <c r="G28" i="2"/>
  <c r="E28" i="2"/>
  <c r="A24" i="165"/>
  <c r="G7" i="165"/>
  <c r="F7" i="165"/>
  <c r="A7" i="165"/>
  <c r="B7" i="165"/>
  <c r="G19" i="165"/>
  <c r="G18" i="165"/>
  <c r="G17" i="165"/>
  <c r="F17" i="4"/>
  <c r="H33" i="4"/>
  <c r="A24" i="4"/>
  <c r="G7" i="4"/>
  <c r="F7" i="4"/>
  <c r="B7" i="4"/>
  <c r="F51" i="164"/>
  <c r="F50" i="164"/>
  <c r="F49" i="164"/>
  <c r="F47" i="164"/>
  <c r="F46" i="164"/>
  <c r="F45" i="164"/>
  <c r="F44" i="164"/>
  <c r="F43" i="164"/>
  <c r="F41" i="164"/>
  <c r="F39" i="164"/>
  <c r="F38" i="164"/>
  <c r="F37" i="164"/>
  <c r="F36" i="164"/>
  <c r="F33" i="164"/>
  <c r="F32" i="164"/>
  <c r="F31" i="164"/>
  <c r="F30" i="164"/>
  <c r="F28" i="164"/>
  <c r="F27" i="164"/>
  <c r="F26" i="164"/>
  <c r="F25" i="164"/>
  <c r="F23" i="164"/>
  <c r="F22" i="164"/>
  <c r="F21" i="164"/>
  <c r="F19" i="164"/>
  <c r="F18" i="164"/>
  <c r="F17" i="164"/>
  <c r="F15" i="164"/>
  <c r="F14" i="164"/>
  <c r="F13" i="164"/>
  <c r="F11" i="164"/>
  <c r="F10" i="164"/>
  <c r="F9" i="164"/>
  <c r="F8" i="164"/>
  <c r="F7" i="164"/>
  <c r="F5" i="164"/>
  <c r="F52" i="164" l="1"/>
  <c r="E57" i="164" s="1"/>
  <c r="G21" i="165"/>
  <c r="F54" i="164" l="1"/>
  <c r="F53" i="164"/>
  <c r="G26" i="202"/>
  <c r="G28" i="202" s="1"/>
  <c r="B6" i="202"/>
  <c r="G24" i="202" s="1"/>
  <c r="G25" i="202" s="1"/>
  <c r="G27" i="202" s="1"/>
  <c r="F56" i="164"/>
  <c r="F58" i="164" s="1"/>
  <c r="E55" i="2"/>
  <c r="G24" i="2"/>
  <c r="G23" i="2"/>
  <c r="G22" i="2"/>
  <c r="E22" i="2"/>
  <c r="E21" i="2" s="1"/>
  <c r="G20" i="2"/>
  <c r="E20" i="2"/>
  <c r="G19" i="2"/>
  <c r="E19" i="2"/>
  <c r="G18" i="2"/>
  <c r="E18" i="2"/>
  <c r="G17" i="2"/>
  <c r="E17" i="2"/>
  <c r="G16" i="2"/>
  <c r="E16" i="2"/>
  <c r="G15" i="2"/>
  <c r="E15" i="2"/>
  <c r="G14" i="2"/>
  <c r="E14" i="2"/>
  <c r="G12" i="2"/>
  <c r="E12" i="2"/>
  <c r="G11" i="2"/>
  <c r="E11" i="2"/>
  <c r="G9" i="2"/>
  <c r="G10" i="2" s="1"/>
  <c r="E9" i="2"/>
  <c r="E10" i="2" s="1"/>
  <c r="G6" i="2"/>
  <c r="G30" i="202" l="1"/>
  <c r="G33" i="2"/>
  <c r="G36" i="2" s="1"/>
  <c r="G21" i="2"/>
  <c r="E8" i="2"/>
  <c r="G8" i="2"/>
  <c r="G13" i="2"/>
  <c r="E13" i="2"/>
  <c r="G37" i="2" l="1"/>
  <c r="G41" i="2"/>
  <c r="G40" i="2"/>
  <c r="G34" i="2"/>
  <c r="G38" i="2"/>
  <c r="G35" i="2"/>
  <c r="G42" i="2" s="1"/>
  <c r="G39" i="2"/>
  <c r="E25" i="2"/>
  <c r="E30" i="2" s="1"/>
  <c r="E33" i="2" s="1"/>
  <c r="G25" i="2"/>
  <c r="G51" i="2" l="1"/>
  <c r="E41" i="2"/>
  <c r="C24" i="165" s="1"/>
  <c r="E24" i="165" s="1"/>
  <c r="G24" i="165" s="1"/>
  <c r="G25" i="165" s="1"/>
  <c r="G13" i="165" s="1"/>
  <c r="G14" i="165" s="1"/>
  <c r="E40" i="2"/>
  <c r="G43" i="2"/>
  <c r="G45" i="2"/>
  <c r="G44" i="2"/>
  <c r="G47" i="2"/>
  <c r="G49" i="2"/>
  <c r="G48" i="2"/>
  <c r="G50" i="2"/>
  <c r="G46" i="2"/>
  <c r="E34" i="2"/>
  <c r="E35" i="2"/>
  <c r="E42" i="2" s="1"/>
  <c r="E37" i="2"/>
  <c r="E52" i="2" s="1"/>
  <c r="C24" i="4" l="1"/>
  <c r="C21" i="167"/>
  <c r="E21" i="167" s="1"/>
  <c r="G21" i="167" s="1"/>
  <c r="G22" i="167" s="1"/>
  <c r="G12" i="167" s="1"/>
  <c r="G13" i="167" s="1"/>
  <c r="G29" i="167" s="1"/>
  <c r="C21" i="170"/>
  <c r="E21" i="170" s="1"/>
  <c r="G21" i="170" s="1"/>
  <c r="G22" i="170" s="1"/>
  <c r="G32" i="165"/>
  <c r="E53" i="2"/>
  <c r="E43" i="2"/>
  <c r="E44" i="2"/>
  <c r="E36" i="2"/>
  <c r="E39" i="2"/>
  <c r="E38" i="2"/>
  <c r="E45" i="2"/>
  <c r="E50" i="2"/>
  <c r="E47" i="2"/>
  <c r="E48" i="2"/>
  <c r="C21" i="175" s="1"/>
  <c r="E21" i="175" s="1"/>
  <c r="E46" i="2"/>
  <c r="E49" i="2"/>
  <c r="G30" i="4"/>
  <c r="G19" i="4"/>
  <c r="G18" i="4"/>
  <c r="G17" i="4"/>
  <c r="G21" i="175" l="1"/>
  <c r="G22" i="175" s="1"/>
  <c r="C24" i="194"/>
  <c r="E24" i="194" s="1"/>
  <c r="G24" i="194" s="1"/>
  <c r="G25" i="194" s="1"/>
  <c r="G12" i="194" s="1"/>
  <c r="G13" i="194" s="1"/>
  <c r="G32" i="194" s="1"/>
  <c r="C21" i="191"/>
  <c r="E21" i="191" s="1"/>
  <c r="G21" i="191" s="1"/>
  <c r="G22" i="191" s="1"/>
  <c r="C26" i="186"/>
  <c r="E26" i="186" s="1"/>
  <c r="G26" i="186" s="1"/>
  <c r="G27" i="186" s="1"/>
  <c r="C22" i="187"/>
  <c r="E22" i="187" s="1"/>
  <c r="G22" i="187" s="1"/>
  <c r="G23" i="187" s="1"/>
  <c r="C21" i="176"/>
  <c r="E21" i="176" s="1"/>
  <c r="G21" i="176" s="1"/>
  <c r="G22" i="176" s="1"/>
  <c r="G13" i="176" s="1"/>
  <c r="C20" i="192"/>
  <c r="E20" i="192" s="1"/>
  <c r="G20" i="192" s="1"/>
  <c r="G21" i="192" s="1"/>
  <c r="C23" i="174"/>
  <c r="E23" i="174" s="1"/>
  <c r="C25" i="195"/>
  <c r="E25" i="195" s="1"/>
  <c r="G25" i="195" s="1"/>
  <c r="G26" i="195" s="1"/>
  <c r="C24" i="193"/>
  <c r="E24" i="193" s="1"/>
  <c r="G24" i="193" s="1"/>
  <c r="G25" i="193" s="1"/>
  <c r="C24" i="190"/>
  <c r="E24" i="190" s="1"/>
  <c r="G24" i="190" s="1"/>
  <c r="G25" i="190" s="1"/>
  <c r="C20" i="178"/>
  <c r="E20" i="178" s="1"/>
  <c r="G20" i="178" s="1"/>
  <c r="G21" i="178" s="1"/>
  <c r="C24" i="200"/>
  <c r="E24" i="200" s="1"/>
  <c r="G24" i="200" s="1"/>
  <c r="G25" i="200" s="1"/>
  <c r="C24" i="198"/>
  <c r="E24" i="198" s="1"/>
  <c r="G24" i="198" s="1"/>
  <c r="G25" i="198" s="1"/>
  <c r="C24" i="188"/>
  <c r="E24" i="188" s="1"/>
  <c r="G24" i="188" s="1"/>
  <c r="G25" i="188" s="1"/>
  <c r="C20" i="177"/>
  <c r="E20" i="177" s="1"/>
  <c r="G20" i="177" s="1"/>
  <c r="G21" i="177" s="1"/>
  <c r="C25" i="196"/>
  <c r="E25" i="196" s="1"/>
  <c r="G25" i="196" s="1"/>
  <c r="G26" i="196" s="1"/>
  <c r="C22" i="173"/>
  <c r="E22" i="173" s="1"/>
  <c r="G22" i="173" s="1"/>
  <c r="G23" i="173" s="1"/>
  <c r="C27" i="184"/>
  <c r="E27" i="184" s="1"/>
  <c r="G27" i="184" s="1"/>
  <c r="G28" i="184" s="1"/>
  <c r="C20" i="181"/>
  <c r="E20" i="181" s="1"/>
  <c r="G20" i="181" s="1"/>
  <c r="G21" i="181" s="1"/>
  <c r="C23" i="172"/>
  <c r="E23" i="172" s="1"/>
  <c r="G23" i="172" s="1"/>
  <c r="G24" i="172" s="1"/>
  <c r="C24" i="189"/>
  <c r="E24" i="189" s="1"/>
  <c r="G24" i="189" s="1"/>
  <c r="G25" i="189" s="1"/>
  <c r="C26" i="185"/>
  <c r="E26" i="185" s="1"/>
  <c r="G26" i="185" s="1"/>
  <c r="G27" i="185" s="1"/>
  <c r="C24" i="199"/>
  <c r="E24" i="199" s="1"/>
  <c r="G24" i="199" s="1"/>
  <c r="G25" i="199" s="1"/>
  <c r="C25" i="197"/>
  <c r="E25" i="197" s="1"/>
  <c r="G25" i="197" s="1"/>
  <c r="G26" i="197" s="1"/>
  <c r="C26" i="180"/>
  <c r="E26" i="180" s="1"/>
  <c r="G26" i="180" s="1"/>
  <c r="G27" i="180" s="1"/>
  <c r="C20" i="179"/>
  <c r="E20" i="179" s="1"/>
  <c r="G20" i="179" s="1"/>
  <c r="G21" i="179" s="1"/>
  <c r="C28" i="171"/>
  <c r="E28" i="171" s="1"/>
  <c r="G28" i="171" s="1"/>
  <c r="G29" i="171" s="1"/>
  <c r="C24" i="183"/>
  <c r="E24" i="183" s="1"/>
  <c r="G24" i="183" s="1"/>
  <c r="G25" i="183" s="1"/>
  <c r="C22" i="182"/>
  <c r="E22" i="182" s="1"/>
  <c r="G22" i="182" s="1"/>
  <c r="G23" i="182" s="1"/>
  <c r="G12" i="170"/>
  <c r="G13" i="170" s="1"/>
  <c r="G29" i="170" s="1"/>
  <c r="C21" i="169"/>
  <c r="E21" i="169" s="1"/>
  <c r="G21" i="169" s="1"/>
  <c r="G22" i="169" s="1"/>
  <c r="C21" i="168"/>
  <c r="E21" i="168" s="1"/>
  <c r="G21" i="168" s="1"/>
  <c r="G22" i="168" s="1"/>
  <c r="G21" i="4"/>
  <c r="E51" i="2"/>
  <c r="E24" i="4"/>
  <c r="G24" i="4" s="1"/>
  <c r="G25" i="4" s="1"/>
  <c r="G13" i="175" l="1"/>
  <c r="G14" i="175" s="1"/>
  <c r="G30" i="175"/>
  <c r="G13" i="183"/>
  <c r="G14" i="183" s="1"/>
  <c r="G32" i="183"/>
  <c r="G12" i="188"/>
  <c r="G13" i="188" s="1"/>
  <c r="G32" i="188" s="1"/>
  <c r="G13" i="182"/>
  <c r="G14" i="182" s="1"/>
  <c r="G30" i="182"/>
  <c r="G14" i="176"/>
  <c r="G30" i="176" s="1"/>
  <c r="G12" i="172"/>
  <c r="G13" i="172" s="1"/>
  <c r="G31" i="172"/>
  <c r="G12" i="187"/>
  <c r="G13" i="187" s="1"/>
  <c r="G30" i="187" s="1"/>
  <c r="G12" i="171"/>
  <c r="G13" i="171" s="1"/>
  <c r="G36" i="171"/>
  <c r="G12" i="178"/>
  <c r="G13" i="178" s="1"/>
  <c r="G29" i="178"/>
  <c r="G12" i="179"/>
  <c r="G13" i="179" s="1"/>
  <c r="G29" i="179"/>
  <c r="G12" i="184"/>
  <c r="G13" i="184" s="1"/>
  <c r="G36" i="184" s="1"/>
  <c r="G12" i="191"/>
  <c r="G13" i="191" s="1"/>
  <c r="G29" i="191"/>
  <c r="G13" i="180"/>
  <c r="G14" i="180" s="1"/>
  <c r="G34" i="180"/>
  <c r="G12" i="193"/>
  <c r="G13" i="193" s="1"/>
  <c r="G32" i="193"/>
  <c r="G12" i="189"/>
  <c r="G13" i="189" s="1"/>
  <c r="G32" i="189" s="1"/>
  <c r="G12" i="185"/>
  <c r="G13" i="185" s="1"/>
  <c r="G34" i="185"/>
  <c r="G12" i="192"/>
  <c r="G13" i="192" s="1"/>
  <c r="G28" i="192"/>
  <c r="G12" i="198"/>
  <c r="G13" i="198" s="1"/>
  <c r="G32" i="198"/>
  <c r="G12" i="200"/>
  <c r="G13" i="200" s="1"/>
  <c r="G32" i="200" s="1"/>
  <c r="G12" i="181"/>
  <c r="G13" i="181" s="1"/>
  <c r="G28" i="181"/>
  <c r="G12" i="186"/>
  <c r="G13" i="186" s="1"/>
  <c r="G35" i="186"/>
  <c r="G12" i="190"/>
  <c r="G13" i="190" s="1"/>
  <c r="G32" i="190"/>
  <c r="G12" i="168"/>
  <c r="G13" i="168" s="1"/>
  <c r="G29" i="168" s="1"/>
  <c r="G12" i="173"/>
  <c r="G13" i="173" s="1"/>
  <c r="G30" i="173"/>
  <c r="G12" i="169"/>
  <c r="G13" i="169" s="1"/>
  <c r="G29" i="169"/>
  <c r="G12" i="197"/>
  <c r="G13" i="197" s="1"/>
  <c r="G33" i="197"/>
  <c r="G12" i="196"/>
  <c r="G13" i="196" s="1"/>
  <c r="G33" i="196" s="1"/>
  <c r="G12" i="195"/>
  <c r="G13" i="195" s="1"/>
  <c r="G33" i="195"/>
  <c r="G12" i="199"/>
  <c r="G13" i="199" s="1"/>
  <c r="G32" i="199"/>
  <c r="G12" i="177"/>
  <c r="G13" i="177" s="1"/>
  <c r="G29" i="177"/>
  <c r="G24" i="174"/>
  <c r="G23" i="174"/>
  <c r="G13" i="4"/>
  <c r="G14" i="4" s="1"/>
  <c r="G33" i="4" s="1"/>
  <c r="G13" i="174" l="1"/>
  <c r="G14" i="174" s="1"/>
  <c r="G31" i="174"/>
</calcChain>
</file>

<file path=xl/sharedStrings.xml><?xml version="1.0" encoding="utf-8"?>
<sst xmlns="http://schemas.openxmlformats.org/spreadsheetml/2006/main" count="1996" uniqueCount="397">
  <si>
    <t>Item</t>
  </si>
  <si>
    <t>Descripción</t>
  </si>
  <si>
    <t>Unidad</t>
  </si>
  <si>
    <t>Cantidad</t>
  </si>
  <si>
    <t>Valor unitario</t>
  </si>
  <si>
    <t>Valor total</t>
  </si>
  <si>
    <t>1.1</t>
  </si>
  <si>
    <t>1.2</t>
  </si>
  <si>
    <t>1.3</t>
  </si>
  <si>
    <t>m</t>
  </si>
  <si>
    <t>2.1</t>
  </si>
  <si>
    <t>m2</t>
  </si>
  <si>
    <t>2.2</t>
  </si>
  <si>
    <t>2.3</t>
  </si>
  <si>
    <t>3.1</t>
  </si>
  <si>
    <t>kg</t>
  </si>
  <si>
    <t>4.1</t>
  </si>
  <si>
    <t>4.2</t>
  </si>
  <si>
    <t>4.3</t>
  </si>
  <si>
    <t>ml</t>
  </si>
  <si>
    <t>5.1</t>
  </si>
  <si>
    <t>5.2</t>
  </si>
  <si>
    <t>5.3</t>
  </si>
  <si>
    <t>PISOS</t>
  </si>
  <si>
    <t>6.1</t>
  </si>
  <si>
    <t>7.1</t>
  </si>
  <si>
    <t>7.2</t>
  </si>
  <si>
    <t>7.3</t>
  </si>
  <si>
    <t>7.4</t>
  </si>
  <si>
    <t>8.1</t>
  </si>
  <si>
    <t>8.2</t>
  </si>
  <si>
    <t>8.3</t>
  </si>
  <si>
    <t>8.4</t>
  </si>
  <si>
    <t>gl</t>
  </si>
  <si>
    <t xml:space="preserve">ADMINISTRACION </t>
  </si>
  <si>
    <t>UTILIDAD</t>
  </si>
  <si>
    <t>ITEM</t>
  </si>
  <si>
    <t>DESCRIPCIÓN</t>
  </si>
  <si>
    <t>UNIDAD</t>
  </si>
  <si>
    <t>CANTIDAD</t>
  </si>
  <si>
    <t>1- Costos Directos</t>
  </si>
  <si>
    <t>E- EQUIPO</t>
  </si>
  <si>
    <t xml:space="preserve"> Tarifa/Hora</t>
  </si>
  <si>
    <t xml:space="preserve"> Rendimiento </t>
  </si>
  <si>
    <t>Vr. Unitario</t>
  </si>
  <si>
    <t>Sub-Total</t>
  </si>
  <si>
    <t>MA- MATERIALES</t>
  </si>
  <si>
    <t xml:space="preserve">Unidad   </t>
  </si>
  <si>
    <t>Precio Unitario</t>
  </si>
  <si>
    <t>MO- MANO OBRA</t>
  </si>
  <si>
    <t>PERSONAL</t>
  </si>
  <si>
    <t xml:space="preserve">Jornal    </t>
  </si>
  <si>
    <t>Prestaciones</t>
  </si>
  <si>
    <t>Jornal Total</t>
  </si>
  <si>
    <t>Rendimiento</t>
  </si>
  <si>
    <t>TR-TRANSPORTE</t>
  </si>
  <si>
    <t>MATERIAL</t>
  </si>
  <si>
    <t>materiales</t>
  </si>
  <si>
    <t>Disposicion final material</t>
  </si>
  <si>
    <t xml:space="preserve">Total Costos Directos </t>
  </si>
  <si>
    <t>herramienta menor</t>
  </si>
  <si>
    <t xml:space="preserve">                                       ANALISIS DE PRESTACIONES SOCIALES</t>
  </si>
  <si>
    <t xml:space="preserve">                               SALARIO REAL COMO PORCENTAJE DEL SALARIO BASICO</t>
  </si>
  <si>
    <t>CONCEPTO</t>
  </si>
  <si>
    <t>SALARIO DIAS TRABAJADOS      365*(100/275)</t>
  </si>
  <si>
    <t>%</t>
  </si>
  <si>
    <t>PRESTACIONES</t>
  </si>
  <si>
    <t>CESANTIAS                                  3*12*(100/275)</t>
  </si>
  <si>
    <t>INTERES CESANTIAS                   0.12*CESANTIAS</t>
  </si>
  <si>
    <t>PRIMAS DE SERVICIOS               30*(100/275)</t>
  </si>
  <si>
    <t>DOTACION                                   5 SM*3*(100/275)</t>
  </si>
  <si>
    <t>APORTES</t>
  </si>
  <si>
    <t>PENSIONES                                 12*(365/275)</t>
  </si>
  <si>
    <t>E.P.S                                            8,5*(365/275)</t>
  </si>
  <si>
    <t>A.R.P                                           6.3*(365/275)</t>
  </si>
  <si>
    <t>SENA                                           2*(365/275)</t>
  </si>
  <si>
    <t>ICBF                                            3*(365/275)</t>
  </si>
  <si>
    <t>C.C.F                                           4*(365/275)</t>
  </si>
  <si>
    <t>F.I.C                                            (365/40)*SM*(100/275)</t>
  </si>
  <si>
    <t>OTROS CONCEPTOS</t>
  </si>
  <si>
    <t>AUXILIO DE TRANSPORTE           11,9*(365/275)*SM</t>
  </si>
  <si>
    <t>INDEMNIZACIONES</t>
  </si>
  <si>
    <t xml:space="preserve">OTROS  </t>
  </si>
  <si>
    <t>TOTAL PAGADO</t>
  </si>
  <si>
    <t>SALARIO MINIMO</t>
  </si>
  <si>
    <t>SALARIO BASICO DIA</t>
  </si>
  <si>
    <t>SALARIO BASICO ÇMINIMO*%TOTAL PAGADO/30=</t>
  </si>
  <si>
    <t>Ayudante de construcción              (1.00 S.M)</t>
  </si>
  <si>
    <t>Día</t>
  </si>
  <si>
    <t>Ayudante de especialidad               (1.20 S.M)</t>
  </si>
  <si>
    <t>Oficial de construccion                   (1.50 S.M)</t>
  </si>
  <si>
    <t>Oficial de especialidad                     (2.00 S.M)</t>
  </si>
  <si>
    <t>Tecnico                                            (2.50 S.M)</t>
  </si>
  <si>
    <t>Maestro                                            (3.00 S.M.)</t>
  </si>
  <si>
    <t>Cuadrilla de construcción 0*1</t>
  </si>
  <si>
    <t>Cuadrilla de construcción 0*2</t>
  </si>
  <si>
    <t>Cuadrilla de construcción 1*0</t>
  </si>
  <si>
    <t>Cuadrilla de construcción 1*1</t>
  </si>
  <si>
    <t>Cuadrilla de construcción 1*2</t>
  </si>
  <si>
    <t>Cuadrilla de construcción 1*3</t>
  </si>
  <si>
    <t>Cuadrilla de construcción 1*4</t>
  </si>
  <si>
    <t>Cuadrilla de construcción 1*5</t>
  </si>
  <si>
    <t>Cuadrilla de construcción 2*1</t>
  </si>
  <si>
    <t>Cuadrilla de construcción 2*2</t>
  </si>
  <si>
    <t>Cuadrilla de construcción 2*3</t>
  </si>
  <si>
    <t>Cuadrilla de topografia     1*1*2</t>
  </si>
  <si>
    <t>Volqueta 5 M3</t>
  </si>
  <si>
    <t>Cuadrilla de construcción 0*3</t>
  </si>
  <si>
    <t>costales de fibra</t>
  </si>
  <si>
    <t>m3</t>
  </si>
  <si>
    <t>mortero 1:4</t>
  </si>
  <si>
    <t>Andamio tijera tramo completo 1.50 x 1.50</t>
  </si>
  <si>
    <t xml:space="preserve"> Pintura  base agua tipo 1</t>
  </si>
  <si>
    <t>galon</t>
  </si>
  <si>
    <t>dia</t>
  </si>
  <si>
    <t>cudrilla electrica 1*3</t>
  </si>
  <si>
    <t>lb</t>
  </si>
  <si>
    <t>cuadrilla de aires 1*2</t>
  </si>
  <si>
    <t>DIA</t>
  </si>
  <si>
    <t xml:space="preserve"> Tarifa/dia</t>
  </si>
  <si>
    <t>Ing. Civil Jorge Alberto Giraldo Rincon</t>
  </si>
  <si>
    <t>MP: 05202132680 ANT</t>
  </si>
  <si>
    <r>
      <t>OBJETO: MEJORAMIENTO DE LA INFRAESTRUCTURA FISICA DEL CENTRO DE SALUD DEL CORREGIMIENTO TABACAL EN EL MUNICIPIO DE BURITICA .</t>
    </r>
    <r>
      <rPr>
        <sz val="18"/>
        <color theme="1"/>
        <rFont val="Calibri"/>
        <family val="2"/>
        <scheme val="minor"/>
      </rPr>
      <t/>
    </r>
  </si>
  <si>
    <t>PROVISIONALES</t>
  </si>
  <si>
    <t>Instalación de CERRAMIENTO PROVISIONAL en malla tipo zaran, con una altura de 2,10 m, estacones de madera común para fijación vertical de altura de 2 m, como elemento de aislamiento de las zonas de las obras, para protección de los usuarios y funcionarios de la sede principal y sede alterna del hospital.</t>
  </si>
  <si>
    <t>RETIROS Y DEMOLICIONES</t>
  </si>
  <si>
    <t>Desmonte y Demolición de cubierta cualquier material existente de la sede del Centro de Salud. Incluye el cargue, transporte, botada o recuperación de fieltro, tablilla, alfardas, cargueras y soleras, incluye cargue, transporte y botada de escombros, recuperación de los materiales aprovechables o su transporte hasta el sitio que lo indique la interventoría.</t>
  </si>
  <si>
    <t>Desmonte y retiro de ventanas existentes en el centro de salud. Incluye, cargue y transporte hasta la bodega o el sitio que indique la interventoría</t>
  </si>
  <si>
    <t>2.4</t>
  </si>
  <si>
    <t>2.5</t>
  </si>
  <si>
    <t>DEMOLICIÓN DE PISOS en concreto incluye retiro de baldosa de cemento, baldosín forros en arenón, entre otros),</t>
  </si>
  <si>
    <t>RETIRO DE APARATOS SANITARIOS Y LAVAMANOS, incluye el cargue, transporte, botada o recuperación de aparatos sanitarios, lavamanos, lavaderos, orinales. Incluye botada en botaderos oficiales y la recuperación de los materiales aprovechables y/o su transporte hasta la bodega o el sitio que indique la interventoría</t>
  </si>
  <si>
    <t>RETIRO DE PUERTAS (marcos y alas) metálicas, en aluminio, en madera o (puerta, ventana en reja).  Ancho variable desde 0,60 a 1,20 m.</t>
  </si>
  <si>
    <t>CUBIERTA</t>
  </si>
  <si>
    <t>Construcción de techo en teja de barro. Incluye suministro e instalación de teja de barro, viga en madera de 100mm x 100mmx2mm, alfardas en madera de 50mmx100mmx2mm, lima hoyas y limatones en madera de 50mmx100mmx2mm, entre capa de eterboard de 10mm, impermeabilización en frio con permofit , colocación de mortero en remate de tejas y caballete. Medido en proyección horizontal</t>
  </si>
  <si>
    <t>SUMINISTO, TRANSPORTE E INSTALACION DE CANOA EN LAMINA GALVANIZADA Cal .24 d/ 0.60 m. (Suministro e instalación con 2 manos de anticorrosivo WASH PRIMER + esmalte + anclaje a muro + sikaflex 1A) Color por definir por interventoría</t>
  </si>
  <si>
    <t>3.2</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</si>
  <si>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t>
  </si>
  <si>
    <t>3.3</t>
  </si>
  <si>
    <t>REVOQUE, ESTUCO Y PINTURA</t>
  </si>
  <si>
    <t>Aplicación pintura vinilo tipo 1, a tres manos, en espacios internos de las áreas donde se realizará la intervención y el mantenimiento. Incluye:   Limpieza. preparación de la superficie. acabado final con pintura tipo viniltex color blanco calidad Pintuco o similar que cumpla la norma Icontec. la aplicación se hará con rodillo y brocha</t>
  </si>
  <si>
    <t>Colocación de REVOQUE con mortero 1:4 IMPERMEABILIZADO con Sika 1 o equivalente. Incluye suministro y transporte de los materiales, ranuras, filetes, y todos los demás elementos necesarios para su correcta construcción.</t>
  </si>
  <si>
    <t>Colocación de ESTUCO ACRÍLICO PROFESIONAL, SOBRE SUPERFICIES REVOCADAS, 3 manos mínimo, o las que sean necesarias para obtener una superficie pareja y homogénea. Incluye suministro y transporte de los materiales, ranuras, filetes, dilataciones y todos los elementos necesarios para su correcta aplicación y funcionamiento</t>
  </si>
  <si>
    <t>PUERTAS</t>
  </si>
  <si>
    <t>SUMINISTRO E INSTALACION DE PUERTAS EN VIDRIO 6mm con marcos en aluminio cuerpos aluminio natural mate, vidrio 3+3 mm batiente sin reja según diseño, incluyen todos los elementos necesarios para su correcta instalación y funcionamiento</t>
  </si>
  <si>
    <t>Suministro transporte e instalación de Puerta para interior de 0,8mt x 2,2mt en madera de cedro, entamborada en triple con chapa de bola en acero inoxidable con sus respectivas llaves según diseño acordado con interventoría</t>
  </si>
  <si>
    <t>SUMINISTRO E INSTALACION DE VENTANA EN ALUMINIO cuerpos aluminio natural mate, vidrio 5 mm con una fija y otra corrediza, incluyen todos los elementos necesarios para su correcta instalación y funcionamiento</t>
  </si>
  <si>
    <t>Suministro, transporte e instalación de baldosa de grano, incluye pulida, dilataciones, acabados y todo lo necesario para su correcto funcionamiento</t>
  </si>
  <si>
    <t>Construcción de mortero de nivelación 1:4 para pisos espesor hasta 5 cm</t>
  </si>
  <si>
    <t>Concreto de 21 Mpa para LOSA MACIZA de piso e=10 cms, incluye: armado, preparación, encofrada, vaciado, vibrado, curado y desencofrado.  No incluye entresuelo. (Sin refuerzo)</t>
  </si>
  <si>
    <t>|</t>
  </si>
  <si>
    <t>Suministro transporte e instalación de guarda escoba piso en baldosa de grano pulido, incluye pega lechada y demás elementos necesarios para su correcta instalación</t>
  </si>
  <si>
    <t>6.4</t>
  </si>
  <si>
    <t>RED HIDROSANITARIA</t>
  </si>
  <si>
    <t>Mantenimiento y reposición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</si>
  <si>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pagarán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</si>
  <si>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pagarán en su ítem respectivo</t>
  </si>
  <si>
    <t>Suministro, transporte e instalación de TUBERÍA PVC-S, EN BAJANTES con un DIÁMETRO DE 4", aguas LLÚVIAS. Incluye suministro y transporte de los materiales, bocas, accesorios, pegante, limpiador, wash primer, acabado en esmalte mate, color a definir por parte de interventoría, andamios, abrazaderas y todos los elementos necesarios para su correcta instalación y funcionamiento.</t>
  </si>
  <si>
    <t>INSTALACIONES ELÉCTRICAS</t>
  </si>
  <si>
    <t>CANALIZACIONES</t>
  </si>
  <si>
    <t>8.1.1</t>
  </si>
  <si>
    <t>Suministro, transporte e instalación de tubería metálica EMT diámetro 1/2". Incluye adaptadores, uniones, curvas, grapas doble ala y demás accesorios necesarios para su correcta instalación.</t>
  </si>
  <si>
    <t>Suministro, transporte e instalación de tubería metálica EMT diámetro 1". Incluye adaptadores, uniones, curvas, grapas doble ala y demás accesorios necesarios para su correcta instalación.</t>
  </si>
  <si>
    <t>8.1.2</t>
  </si>
  <si>
    <t>8.1.3</t>
  </si>
  <si>
    <t>Suministro e instalación de Canaleta Metálica con división 12X5. Fabricada en acero cold rolled, diseñadas para uso interior, poseen tornillos de puesta a tierra, pintura en polvo con aplicaciones electrostática, texturizado en pintura epóxica /poliéster, cumple con RETIE.</t>
  </si>
  <si>
    <t>8.1.4</t>
  </si>
  <si>
    <t>CAJAS DE DISTRIBUCIÓN Y DE PASO</t>
  </si>
  <si>
    <t>Suministro, transporte e instalación de caja metálica 12x12x5 de sobreponer con tapa liza, marcación con cinta de acuerdo a la norma y demás accesorios necesarios para su correcta instalación</t>
  </si>
  <si>
    <t>8.2.1</t>
  </si>
  <si>
    <t>SALIDAS DE ENERGÍA</t>
  </si>
  <si>
    <t xml:space="preserve">Suministro, transporte e instalación de salida eléctrica expuesta en tubería EMT para tomacorriente Blanco doble grado hospitalario con polo a tierra 15A y según norma NEMA 5-15R o equivalente. Incluye tomacorriente Blanco grado hospitalario, 3 metros de tubo EMT 3/4", encintada, 3 metros de cable 3x12 AWG-Cu-FR LS, caja metálica 12x12x5 de sobreponer con tapa suplemento, conectores de conexión y/o empalme, grapa metálica doble ala, marcación con cinta de acuerdo a la norma y demás accesorios necesarios para su correcta instalación. </t>
  </si>
  <si>
    <t>8.3.1</t>
  </si>
  <si>
    <t>Suministro, transporte e instalación de salida eléctrica expuesta en tubería EMT para tomacorriente doble grado hospitalario con polo a tierra aislada color naranja 10-15 A. LEV ref 5262-IG, 125 V y según la norma NEMA 5-15R, prueba de conformidad UL y RETIE. Incluye tomacorriente Naranja grado hospitalario, 3 metros de tubo EMT 3/4", encintada, 3 metros de cable 3x12 AWG-Cu-FR LS, caja metálica 12x12x5 de sobreponer con tapa suplemento, conectores de conexión y/o empalme, grapa metálica doble ala, marcación con cinta de acuerdo a la norma y demás accesorios necesarios para su correcta instalación</t>
  </si>
  <si>
    <t>8.3.2</t>
  </si>
  <si>
    <t>Suministro, transporte e instalación de materiales para salida eléctrica de interruptor monopolar de alumbrado 15A. TIPO LEV referencia 1451, 10A, 125 V, según certificación RETIE y pruebas de conformidad UL por ducto EMT 3/4". Incluye el interruptor, tapa, 3 metros de tubo EMT 3/4", caja metálica 12x12x5 con tapa suplemento, adaptadores, curvas, uniones, 3 metros de cable 3x12 AWG-Cu-FR LS 75°C, conectores de conexión y empalme, tornillos y demás elementos y accesorios para su correcta instalación y funcionamiento.</t>
  </si>
  <si>
    <t>8.3.3</t>
  </si>
  <si>
    <t xml:space="preserve">Suministro, transporte e instalación de salida eléctrica expuesta para alumbrado, en tubería EMT, con tomacorrientes polo a tierra 15A 120V Tipo LEV referencia 5320 ACP y según norma NEMA 5-15R o equivalente.  Incluye tomacorriente, 3 metros de tubo EMT 3/4", encintada, 3 metros de cable 3x12 AWG-Cu-FR LS 75°C, caja metálica 12x12x5 de sobreponer con tapa suplemento, conectores de conexión y/o empalme, grapa metálica doble ala, marcación con cinta de acuerdo a la norma y demás accesorios necesarios para su correcta instalación. </t>
  </si>
  <si>
    <t>8.3.4</t>
  </si>
  <si>
    <t xml:space="preserve">Suministro, transporte e instalación de salida eléctrica expuesta para de sensor de presencia infrarrojo 360º, por ducto expuesto EMT. Incluye el sensor, 3 metros de tubo EMT 3/4", caja metálica 12x12x5 con tapa, 3 metros de cable 3x12 AWG-Cu-FR LS 75°C, tornillos, y demás accesorios y elementos para su correcta instalación y funcionamiento. </t>
  </si>
  <si>
    <t>8.3.5</t>
  </si>
  <si>
    <t>LUMINACIÓN</t>
  </si>
  <si>
    <t>Suministro, transporte e instalación de Panel LED 30x120 cm para suspender 36W, KIT antisísmico, clavija macho caucho 15 A y 2 m de encuachetado 3x14 AWG, incluye terminales, elementos de marcación, encintado y elementos necesarios para su correcta instalación y funcionamiento.</t>
  </si>
  <si>
    <t>8.6.1</t>
  </si>
  <si>
    <t>Suministro, transporte e instalación de Panel LED 60x60 cm para suspender 40W, KIT antisísmico, clavija macho caucho 15 A y 2 m de encuachetado 3x14 AWG, incluye terminales, elementos de marcación, encintado y elementos necesarios para su correcta instalación y funcionamiento.</t>
  </si>
  <si>
    <t>8.6.2</t>
  </si>
  <si>
    <t>Suministro, transporte e instalación de lampara de emergencia led de 2,4 , chasis en Plástico, 1 metro de Cable encauchetado 3x14 AWG,clavija con polo a tierra.</t>
  </si>
  <si>
    <t>8.6.3</t>
  </si>
  <si>
    <t>SUBTOTAL COSTOS DIRECTOS</t>
  </si>
  <si>
    <t>SUBTOTAL ADMINISTRACIÓN</t>
  </si>
  <si>
    <t>SUBTOTAL UTILIDAD</t>
  </si>
  <si>
    <t>SUBTOTAL INVERSIÓN AMBIENTAL</t>
  </si>
  <si>
    <t xml:space="preserve">COSTO TOTAL OBRA </t>
  </si>
  <si>
    <t>COSTO INTERVENTORIA</t>
  </si>
  <si>
    <t>COSTO TOTAL PROYECTO</t>
  </si>
  <si>
    <t>malla tipo Zaran</t>
  </si>
  <si>
    <t>estacones de madera comun</t>
  </si>
  <si>
    <t>amarres</t>
  </si>
  <si>
    <t>Sección completa de andamio (1.2m-1.5m) x 1.5 m. (+ 4
ruedas) Incluye transporte.H13</t>
  </si>
  <si>
    <t xml:space="preserve"> Tarifa/Hora/dia</t>
  </si>
  <si>
    <t>AUXILIARES-TRANSPORTE-CARGUE</t>
  </si>
  <si>
    <t>Cargue (Paleros), transporte de materiales y derechos de botadero y/o almacenamiento en bodega</t>
  </si>
  <si>
    <t>M3</t>
  </si>
  <si>
    <t>COSTO</t>
  </si>
  <si>
    <t>ROYO</t>
  </si>
  <si>
    <t>COSTOS</t>
  </si>
  <si>
    <t>DESCRIPCION</t>
  </si>
  <si>
    <t>Teja de barro</t>
  </si>
  <si>
    <t>Mort.1:5 En obra</t>
  </si>
  <si>
    <t>Clavos</t>
  </si>
  <si>
    <t>manto permofit</t>
  </si>
  <si>
    <t>viga en madera de 4" * 4" *2 mm</t>
  </si>
  <si>
    <t>Larguero 2" x 4" (alfardas) 2mm</t>
  </si>
  <si>
    <t>madera de 2" *4"* 2mm</t>
  </si>
  <si>
    <t>lamina de eterboard 10mm</t>
  </si>
  <si>
    <t>Canoa el lamina galvanizada cal 24 D/0,60m</t>
  </si>
  <si>
    <t>anlcajes con sikaflex 1A.</t>
  </si>
  <si>
    <t>Wash primer 1/4 galón</t>
  </si>
  <si>
    <t>Pintura Anticorrosivo Esmalte Blanco 1/4 Galón</t>
  </si>
  <si>
    <t>lamina galvanizada calibre 22 de 1*2</t>
  </si>
  <si>
    <t>revoque 1:5</t>
  </si>
  <si>
    <t>mortero 1: 4  impermeabilizado</t>
  </si>
  <si>
    <t>estuco acrilico plastico 30kg</t>
  </si>
  <si>
    <t>caneca</t>
  </si>
  <si>
    <t>SUMINISTRO E INSTALACION DE PUERTAS EN VIDRIO 6mm con marcos en aluminio cuerpos aluminio natural mate, vidrio 3+3 mm batiente lico plastico 30kg</t>
  </si>
  <si>
    <t>transporte puerta</t>
  </si>
  <si>
    <t>Puerta para interior de 0,8mt x 2,2mt en madera de cedro, entamborada en triple con chapa de bola en acero inoxidable con sus respectivas llaves según</t>
  </si>
  <si>
    <t>VENTANA EN ALUMINIO cuerpos aluminio natural mate, vidrio 5 mm con una fija y otra corrediza</t>
  </si>
  <si>
    <t>transporte ventana</t>
  </si>
  <si>
    <t>transporte interno y externo de mateariales a sitio</t>
  </si>
  <si>
    <t>Pulidora de pisos duros de 6 piedras</t>
  </si>
  <si>
    <t>baldosa de grano 30*30</t>
  </si>
  <si>
    <t>lechada</t>
  </si>
  <si>
    <t>varilla de dilatacion pvc 4 mm *37 mm</t>
  </si>
  <si>
    <t>Cera Polimérica líquida para pisos</t>
  </si>
  <si>
    <t>lt</t>
  </si>
  <si>
    <t>Eucon R200, aditivo plastificante de concreto.
Presentación por 20 Kg. Incluye transporte</t>
  </si>
  <si>
    <t>trnsporte interno de materiales</t>
  </si>
  <si>
    <t>mortero pega 1:4</t>
  </si>
  <si>
    <t>concreto de 21 Mpa</t>
  </si>
  <si>
    <t>formaleta</t>
  </si>
  <si>
    <t>transporte interno de materiales</t>
  </si>
  <si>
    <t>vibrador electrico</t>
  </si>
  <si>
    <t>Tubería PVC-P RDE 9 500 PSI, Ø= 1/2" - Pavco o equivalente.</t>
  </si>
  <si>
    <t>Unión PVC-P, Ø= 1/2</t>
  </si>
  <si>
    <t>"Codo 90º PVC-P Ø= 1/2".</t>
  </si>
  <si>
    <t>Tee PVC-P Ø= 1/2</t>
  </si>
  <si>
    <t>Adaptador macho PVC-P Ø= 1/2"</t>
  </si>
  <si>
    <t>Adaptador hembra PVC-P Ø= 1/2" - Pavco o equivalente</t>
  </si>
  <si>
    <t>Soldadura PVC (Unión simple) 1/4</t>
  </si>
  <si>
    <t>Limpiador Removedor PVC x 1/4 de galón.</t>
  </si>
  <si>
    <t>cargue y botada de escombros</t>
  </si>
  <si>
    <t>Tubería PVC-S Ø= 2</t>
  </si>
  <si>
    <t xml:space="preserve">Tapón prueba PVC-S Ø= 2" </t>
  </si>
  <si>
    <t>Codo 90º PVC-S CxC, Ø= 2".</t>
  </si>
  <si>
    <t>Codo 45º PVC-S CxC, Ø= 2"</t>
  </si>
  <si>
    <t>Tee PVC-S Ø= 2"x1 1/2"</t>
  </si>
  <si>
    <t>Tubería PVC-S Ø= 4</t>
  </si>
  <si>
    <t xml:space="preserve">Tapón prueba PVC-S Ø= 4" </t>
  </si>
  <si>
    <t>Codo 90º PVC-S CxC, Ø= 4".</t>
  </si>
  <si>
    <t>Codo 45º PVC-S CxC, Ø= 4"</t>
  </si>
  <si>
    <t>botada de escombros de demolicion</t>
  </si>
  <si>
    <t>Sifon PVC 135  4"</t>
  </si>
  <si>
    <t>tuberia EMT DE 1/2"</t>
  </si>
  <si>
    <t>Curva EMT de 1/2"</t>
  </si>
  <si>
    <t>adaptador de 1/2"</t>
  </si>
  <si>
    <t>union EMT de 1/2"</t>
  </si>
  <si>
    <t>Grapa doble ala de  1/2". incluye el chazo y el tornillo</t>
  </si>
  <si>
    <t>canaleta metalica de 12*5 en acero cold rolled calibre 18, pintada con polvo electrostatica y pintura epoxica</t>
  </si>
  <si>
    <t>chazos metalicos</t>
  </si>
  <si>
    <t>caja metalica de 12*12*5  de sobreponer con tapa liza</t>
  </si>
  <si>
    <t>tomacorriente blanco doble, grado hospitalario con polo a tierra 15A</t>
  </si>
  <si>
    <t>tuberia Emt 3/4"</t>
  </si>
  <si>
    <t>Caja metalica 12*12*5 sobreponer con tapa</t>
  </si>
  <si>
    <t xml:space="preserve">cable 3*12 AWG </t>
  </si>
  <si>
    <t>tuberia EMT DE 1"</t>
  </si>
  <si>
    <t>Curva EMT de 1"</t>
  </si>
  <si>
    <t>adaptador de 1"</t>
  </si>
  <si>
    <t>union EMT de 1"</t>
  </si>
  <si>
    <t>Grapa doble ala de  1". incluye el chazo y el tornillo</t>
  </si>
  <si>
    <t xml:space="preserve">tomacorriente doble grado hospitalario con polo a tierra color naranja 10 -15 </t>
  </si>
  <si>
    <t>interruptor Monopolar de alumbrado 15A</t>
  </si>
  <si>
    <t>otros</t>
  </si>
  <si>
    <t xml:space="preserve">tomacorriente polo a tierra 15A 120 voltios </t>
  </si>
  <si>
    <t>Grapa doble ala de  incluye el chazo y el tornillo</t>
  </si>
  <si>
    <t>Grapa doble ala incluye el chazo y el tornillo</t>
  </si>
  <si>
    <t>Grapa doble ala  incluye el chazo y el tornillo</t>
  </si>
  <si>
    <t>sensor de presencia infarrojo 360°</t>
  </si>
  <si>
    <t>panel Led 30*120 cm 36W</t>
  </si>
  <si>
    <t>clavija macho caucho15A</t>
  </si>
  <si>
    <t>encauchetado 3*14 AWG</t>
  </si>
  <si>
    <t>terminales</t>
  </si>
  <si>
    <t>panel Led 60*60 de suspender 40W</t>
  </si>
  <si>
    <t xml:space="preserve">lampara de emergencia led </t>
  </si>
  <si>
    <t>clavija polo a tierra</t>
  </si>
  <si>
    <t>OBJETO:</t>
  </si>
  <si>
    <t>PLAZO:</t>
  </si>
  <si>
    <t>4 MESES</t>
  </si>
  <si>
    <t>CARGO/OFICIO</t>
  </si>
  <si>
    <t>SUELDO Y/O TARIFA MENSUAL</t>
  </si>
  <si>
    <t>DEDICACIÓN MENSUAL</t>
  </si>
  <si>
    <t>DURACIÓN
 (Meses)</t>
  </si>
  <si>
    <t>VALOR PARCIAL ($)</t>
  </si>
  <si>
    <t>COSTOS DIRECTOS DE PERSONAL</t>
  </si>
  <si>
    <t xml:space="preserve">Residente (Ingeniero, Arquitecto y/o tecnologo en areas afines a la construccion) </t>
  </si>
  <si>
    <r>
      <t xml:space="preserve">Profesional SST- (manejo de salud y seguridad en el trabajo)  </t>
    </r>
    <r>
      <rPr>
        <sz val="10"/>
        <color indexed="10"/>
        <rFont val="Arial"/>
        <family val="2"/>
      </rPr>
      <t/>
    </r>
  </si>
  <si>
    <t>Subtotal Costos Directos de Personal</t>
  </si>
  <si>
    <t>Factor Multiplicador</t>
  </si>
  <si>
    <t>Total Costos Directos de Personal incluido Factor Multiplicador</t>
  </si>
  <si>
    <t>OTROS COSTOS DIRECTOS</t>
  </si>
  <si>
    <t>VALOR PARCIAL
 ($)</t>
  </si>
  <si>
    <t>Equipo de oficina (Impresoras - computadores) tiempo ejecución y legalización</t>
  </si>
  <si>
    <t>Papeleria, fax, edición de informes, CD, DVD, fotocopias, fotografías, etc</t>
  </si>
  <si>
    <t>GL</t>
  </si>
  <si>
    <t>Subtotal Otros Costos Directos</t>
  </si>
  <si>
    <t>Director de obra (ingeniero Civil, Arquitecto o Arquitecto Constructor)</t>
  </si>
  <si>
    <t>FACTOR MULTIPLICADOR</t>
  </si>
  <si>
    <t>SALARIO BASICO</t>
  </si>
  <si>
    <t>PRESTACIONES SOCIALES</t>
  </si>
  <si>
    <t>CESANTIAS</t>
  </si>
  <si>
    <t>INTERESES</t>
  </si>
  <si>
    <t>PRIMA</t>
  </si>
  <si>
    <t>VACACIONES</t>
  </si>
  <si>
    <t>SALUD</t>
  </si>
  <si>
    <t>PENSION</t>
  </si>
  <si>
    <t>ARL</t>
  </si>
  <si>
    <t>PARAFISCALES</t>
  </si>
  <si>
    <t>COSTOS INDIRECTOS</t>
  </si>
  <si>
    <t>GASTOS LEGALES Y BANCARIOS</t>
  </si>
  <si>
    <t>PERFECCIONAMIENTO Y LEGALIZACION CONTRATO</t>
  </si>
  <si>
    <t>_______________________________________</t>
  </si>
  <si>
    <t>firma representante legal</t>
  </si>
  <si>
    <t>MUNICIPIO DE BURITICA</t>
  </si>
  <si>
    <t>Campamento</t>
  </si>
  <si>
    <t>IMPUESTOS Y RETENCIONES</t>
  </si>
  <si>
    <t>impuestos y retenciones</t>
  </si>
  <si>
    <t>COSTO PROYECTO</t>
  </si>
  <si>
    <t>Subtotal Impuestos y retenciones</t>
  </si>
  <si>
    <t>TOTAL OBRA</t>
  </si>
  <si>
    <t xml:space="preserve">GESTIÓN AMBIENTAL </t>
  </si>
  <si>
    <t xml:space="preserve">Manejo de Residuos Sólidos </t>
  </si>
  <si>
    <t>Canecas de 5 galones con tapa y debidamente rotuladas (tener en cuenta tres  juegos de dos recipientes ordinarios y reciclables para oficina Contratista, Interventoría y Almacén)</t>
  </si>
  <si>
    <t>un</t>
  </si>
  <si>
    <t>Canecas de 55 galones con tapa y debidamente rotuladas (tener en cuenta  juego de tres recipientes ordinarios, reciclables y especiales )</t>
  </si>
  <si>
    <t>Bolsas plásticas para los frentes de obra color gris (residuos ordinarios)</t>
  </si>
  <si>
    <t>Bolsas plásticas para los frentes de obra color verde (residuos reciclables)</t>
  </si>
  <si>
    <t>Bolsas plásticas para los frentes de obra color rojo (residuos especiales)</t>
  </si>
  <si>
    <t>Recolección de residuos sólidos especiales por parte de una empresa autorizada</t>
  </si>
  <si>
    <t>Herramientas y equipos para el aseo y limpieza en obra</t>
  </si>
  <si>
    <t>Costales de  fibra para recolección y acopio temporal de residuos de construcción</t>
  </si>
  <si>
    <t>Señalización en sitios internos de disposición temporal de residuos (La señalización debe estar laminada o plastificada, letra visible tamaño 0.25*0.4m)</t>
  </si>
  <si>
    <t>Maquinaria, vehículos y equipo en obra</t>
  </si>
  <si>
    <t xml:space="preserve">Extintor Multipropósito (ABC)  de 20 libras </t>
  </si>
  <si>
    <t>Ahorro y uso eficiente de agua y energía</t>
  </si>
  <si>
    <t>Elementos para la recolección y uso de agua lluvias</t>
  </si>
  <si>
    <t>Manejo de sustancias químicas</t>
  </si>
  <si>
    <t>Kit de emergencia para derrames químicos. Incluye bolsa con arena, caneca de 5 galones, bolsas plásticas, pala pequeña, guantes y mascarilla para concentración de partículas)</t>
  </si>
  <si>
    <t xml:space="preserve">un </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</si>
  <si>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
  </si>
  <si>
    <t>Uso y almacenamiento adecuado de materiales de construcción</t>
  </si>
  <si>
    <t>Teleras 1,35m x 0,90 m  para construcción de acopios</t>
  </si>
  <si>
    <t>Plástico Negro, calibre 4 y ancho de 2 m.</t>
  </si>
  <si>
    <t>Malla de seguridad (construcción) Naranja (Rollo por 50 ms)</t>
  </si>
  <si>
    <t>Balizas (1,4m)</t>
  </si>
  <si>
    <t>Señalización de zonas de acopio (La señalización debe estar laminada o plastificada, letra visible tamaño 0.25*0.4m)</t>
  </si>
  <si>
    <t xml:space="preserve">gl </t>
  </si>
  <si>
    <t>Control de emisiones atmosféricas</t>
  </si>
  <si>
    <t xml:space="preserve">Manguera 1/2" para riego  </t>
  </si>
  <si>
    <t>Cubierta para la concretadora.  Incluye largueros y plástico</t>
  </si>
  <si>
    <t>Caseta para la cortadora. Incluye largueros, plástico y caja desarenadora</t>
  </si>
  <si>
    <t>Tela negra para protección perimetral de edificaciones</t>
  </si>
  <si>
    <t>Gestión de la fauna y la flora</t>
  </si>
  <si>
    <t>Malla tipo polisombra color naranja para la delimitación de zonas verdes, zonas de tala y protección de árboles o arbustos.(Rollo por 100 m x 1,50 m ancho)</t>
  </si>
  <si>
    <t xml:space="preserve">Teleras 1,35m x 0,90 m </t>
  </si>
  <si>
    <t>Señales de alerta para la protección de la fauna</t>
  </si>
  <si>
    <t>OBJETO: MEJORAMIENTO DE LA INFRAESTRUCTURA FISICA DEL CENTRO DE SALUD DEL CORREGIMIENTO TABACAL EN EL MUNICIPIO DE BURITICA .</t>
  </si>
  <si>
    <t>unidad</t>
  </si>
  <si>
    <t>cantidad</t>
  </si>
  <si>
    <t>valor unitario</t>
  </si>
  <si>
    <t>valor total</t>
  </si>
  <si>
    <t>item</t>
  </si>
  <si>
    <t>subtotal programa ambiental</t>
  </si>
  <si>
    <t>IVA</t>
  </si>
  <si>
    <t>TOTAL</t>
  </si>
  <si>
    <t>MEJORAMIENTO DE LA INFRAESTRUCTURA FISICA DEL CENTRO DE SALUD DEL CORREGIMIENTO TABACAL EN EL MUNICIPIO DE BURITICA"</t>
  </si>
  <si>
    <t>3 MESES</t>
  </si>
  <si>
    <t>1.4</t>
  </si>
  <si>
    <t>1.5</t>
  </si>
  <si>
    <t>1.6</t>
  </si>
  <si>
    <t>1.7</t>
  </si>
  <si>
    <t>1.8</t>
  </si>
  <si>
    <t>1.9</t>
  </si>
  <si>
    <t>5.4</t>
  </si>
  <si>
    <t>5.5</t>
  </si>
  <si>
    <t>6.2</t>
  </si>
  <si>
    <t>6.3</t>
  </si>
  <si>
    <t>6.5</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</si>
</sst>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quot;$&quot;\ * #,##0.00_ ;_ &quot;$&quot;\ * \-#,##0.00_ ;_ &quot;$&quot;\ * &quot;-&quot;??_ ;_ @_ "/>
    <numFmt numFmtId="169" formatCode="_ * #.##0.00_ ;_ * \-#.##0.00_ ;_ * &quot;-&quot;??_ ;_ @_ "/>
    <numFmt numFmtId="170" formatCode="&quot;$&quot;\ #,##0"/>
    <numFmt numFmtId="171" formatCode="_-&quot;$&quot;\ * #,##0_-;\-&quot;$&quot;\ * #,##0_-;_-&quot;$&quot;\ * &quot;-&quot;??_-;_-@_-"/>
    <numFmt numFmtId="172" formatCode="_(* #,##0_);_(* \(#,##0\);_(* &quot;-&quot;??_);_(@_)"/>
    <numFmt numFmtId="173" formatCode="0.000%"/>
    <numFmt numFmtId="174" formatCode="_(* #,##0.000_);_(* \(#,##0.000\);_(* &quot;-&quot;??_);_(@_)"/>
    <numFmt numFmtId="175" formatCode="_(&quot;$&quot;* #,##0_);_(&quot;$&quot;* \(#,##0\);_(&quot;$&quot;* &quot;-&quot;??_);_(@_)"/>
    <numFmt numFmtId="176" formatCode="_-&quot;$&quot;* #,##0_-;\-&quot;$&quot;* #,##0_-;_-&quot;$&quot;* &quot;-&quot;??_-;_-@_-"/>
    <numFmt numFmtId="177" formatCode="0.0"/>
    <numFmt numFmtId="178" formatCode="0.000"/>
    <numFmt numFmtId="179" formatCode="0.0000"/>
    <numFmt numFmtId="180" formatCode="_ &quot;$&quot;\ * #,##0_ ;_ &quot;$&quot;\ * \-#,##0_ ;_ &quot;$&quot;\ * &quot;-&quot;??_ ;_ @_ "/>
    <numFmt numFmtId="181" formatCode="&quot;$&quot;#,##0.00;[Red]\-&quot;$&quot;#,##0.00"/>
    <numFmt numFmtId="182" formatCode="_(&quot;$&quot;\ * #,##0_);_(&quot;$&quot;\ * \(#,##0\);_(&quot;$&quot;\ *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rgb="FF000000"/>
      <name val="Calibri"/>
      <family val="2"/>
    </font>
    <font>
      <b/>
      <sz val="10"/>
      <name val="Arial"/>
      <family val="2"/>
    </font>
    <font>
      <b/>
      <sz val="14"/>
      <color theme="1"/>
      <name val="Calibri"/>
      <family val="2"/>
      <scheme val="minor"/>
    </font>
    <font>
      <b/>
      <sz val="10"/>
      <color theme="1"/>
      <name val="Calibri"/>
      <family val="2"/>
      <scheme val="minor"/>
    </font>
    <font>
      <b/>
      <sz val="9"/>
      <color theme="1"/>
      <name val="Calibri"/>
      <family val="2"/>
      <scheme val="minor"/>
    </font>
    <font>
      <sz val="18"/>
      <color theme="1"/>
      <name val="Calibri"/>
      <family val="2"/>
      <scheme val="minor"/>
    </font>
    <font>
      <sz val="8"/>
      <name val="Calibri"/>
      <family val="2"/>
      <scheme val="minor"/>
    </font>
    <font>
      <b/>
      <sz val="8"/>
      <color rgb="FF000000"/>
      <name val="Arial"/>
      <family val="2"/>
    </font>
    <font>
      <sz val="10"/>
      <color indexed="10"/>
      <name val="Arial"/>
      <family val="2"/>
    </font>
    <font>
      <b/>
      <sz val="11"/>
      <name val="Calibri"/>
      <family val="2"/>
      <scheme val="minor"/>
    </font>
    <font>
      <b/>
      <sz val="10"/>
      <name val="Calibri"/>
      <family val="2"/>
      <scheme val="minor"/>
    </font>
    <font>
      <sz val="10"/>
      <name val="Calibri"/>
      <family val="2"/>
      <scheme val="minor"/>
    </font>
    <font>
      <sz val="12"/>
      <name val="Calibri"/>
      <family val="2"/>
      <scheme val="minor"/>
    </font>
    <font>
      <b/>
      <sz val="12"/>
      <name val="Calibri"/>
      <family val="2"/>
      <scheme val="minor"/>
    </font>
    <font>
      <b/>
      <sz val="9"/>
      <color theme="1"/>
      <name val="Arial"/>
      <family val="2"/>
    </font>
    <font>
      <b/>
      <sz val="9"/>
      <name val="Arial"/>
      <family val="2"/>
    </font>
    <font>
      <sz val="9"/>
      <color theme="1"/>
      <name val="Arial"/>
      <family val="2"/>
    </font>
    <font>
      <sz val="9"/>
      <color indexed="8"/>
      <name val="Arial"/>
      <family val="2"/>
    </font>
    <font>
      <sz val="11"/>
      <color indexed="8"/>
      <name val="Calibri"/>
      <family val="2"/>
    </font>
  </fonts>
  <fills count="8">
    <fill>
      <patternFill patternType="none"/>
    </fill>
    <fill>
      <patternFill patternType="gray125"/>
    </fill>
    <fill>
      <patternFill patternType="solid">
        <fgColor theme="0" tint="-0.249977111117893"/>
        <bgColor indexed="64"/>
      </patternFill>
    </fill>
    <fill>
      <patternFill patternType="solid">
        <fgColor rgb="FFA6A6A6"/>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3" tint="0.59999389629810485"/>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24">
    <xf numFmtId="0" fontId="0" fillId="0" borderId="0"/>
    <xf numFmtId="165"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3" fillId="0" borderId="0"/>
    <xf numFmtId="0" fontId="3" fillId="0" borderId="0"/>
    <xf numFmtId="0" fontId="4" fillId="0" borderId="0"/>
    <xf numFmtId="168"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2" fontId="1" fillId="0" borderId="0" applyFont="0" applyFill="0" applyBorder="0" applyAlignment="0" applyProtection="0"/>
    <xf numFmtId="169" fontId="3"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12" fontId="3" fillId="0" borderId="0" applyFont="0" applyFill="0" applyProtection="0"/>
    <xf numFmtId="181" fontId="3" fillId="0" borderId="0" applyFont="0" applyFill="0" applyBorder="0" applyAlignment="0" applyProtection="0"/>
    <xf numFmtId="0" fontId="3" fillId="0" borderId="0"/>
    <xf numFmtId="0" fontId="3" fillId="0" borderId="0"/>
    <xf numFmtId="0" fontId="1" fillId="0" borderId="0"/>
    <xf numFmtId="166" fontId="22" fillId="0" borderId="0" applyFont="0" applyFill="0" applyBorder="0" applyAlignment="0" applyProtection="0"/>
  </cellStyleXfs>
  <cellXfs count="264">
    <xf numFmtId="0" fontId="0" fillId="0" borderId="0" xfId="0"/>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wrapText="1"/>
    </xf>
    <xf numFmtId="0" fontId="3" fillId="0" borderId="9" xfId="6" applyBorder="1" applyAlignment="1">
      <alignment horizontal="center" vertical="center"/>
    </xf>
    <xf numFmtId="0" fontId="3" fillId="0" borderId="1" xfId="6" applyBorder="1" applyAlignment="1">
      <alignment horizontal="left" vertical="center" wrapText="1"/>
    </xf>
    <xf numFmtId="0" fontId="3" fillId="0" borderId="1" xfId="6" applyBorder="1" applyAlignment="1">
      <alignment horizontal="center" vertical="center"/>
    </xf>
    <xf numFmtId="2" fontId="3" fillId="0" borderId="1" xfId="13" applyNumberFormat="1" applyFont="1" applyFill="1" applyBorder="1" applyAlignment="1">
      <alignment horizontal="center" vertical="center"/>
    </xf>
    <xf numFmtId="170" fontId="3" fillId="0" borderId="1" xfId="4" applyNumberFormat="1" applyFont="1" applyFill="1" applyBorder="1" applyAlignment="1">
      <alignment horizontal="center" vertical="center" wrapText="1"/>
    </xf>
    <xf numFmtId="170" fontId="3" fillId="0" borderId="5" xfId="4" applyNumberFormat="1" applyFont="1" applyFill="1" applyBorder="1" applyAlignment="1">
      <alignment horizontal="center" vertical="center" wrapText="1"/>
    </xf>
    <xf numFmtId="165" fontId="0" fillId="0" borderId="0" xfId="1" applyFont="1"/>
    <xf numFmtId="0" fontId="2" fillId="0" borderId="10" xfId="0" applyFont="1" applyBorder="1" applyAlignment="1">
      <alignment horizontal="center"/>
    </xf>
    <xf numFmtId="0" fontId="2" fillId="0" borderId="11" xfId="0" applyFont="1" applyBorder="1"/>
    <xf numFmtId="0" fontId="2" fillId="0" borderId="12" xfId="0" applyFont="1" applyBorder="1"/>
    <xf numFmtId="0" fontId="0" fillId="0" borderId="13" xfId="0" applyBorder="1" applyAlignment="1">
      <alignment horizontal="center"/>
    </xf>
    <xf numFmtId="0" fontId="0" fillId="0" borderId="14" xfId="0" applyBorder="1" applyAlignment="1">
      <alignment horizontal="center"/>
    </xf>
    <xf numFmtId="0" fontId="2" fillId="0" borderId="16" xfId="0" applyFont="1" applyBorder="1"/>
    <xf numFmtId="0" fontId="0" fillId="0" borderId="17" xfId="0" applyBorder="1"/>
    <xf numFmtId="0" fontId="2" fillId="0" borderId="18" xfId="0" applyFont="1" applyBorder="1"/>
    <xf numFmtId="171" fontId="0" fillId="0" borderId="1" xfId="1" applyNumberFormat="1" applyFont="1" applyBorder="1"/>
    <xf numFmtId="0" fontId="0" fillId="0" borderId="1" xfId="0" applyBorder="1"/>
    <xf numFmtId="171" fontId="0" fillId="0" borderId="5" xfId="1" applyNumberFormat="1" applyFont="1" applyBorder="1"/>
    <xf numFmtId="0" fontId="0" fillId="0" borderId="16" xfId="0" applyBorder="1"/>
    <xf numFmtId="0" fontId="0" fillId="0" borderId="14" xfId="0" applyBorder="1"/>
    <xf numFmtId="2" fontId="0" fillId="0" borderId="14" xfId="0" applyNumberFormat="1" applyBorder="1"/>
    <xf numFmtId="171" fontId="0" fillId="0" borderId="14" xfId="1" applyNumberFormat="1" applyFont="1" applyBorder="1"/>
    <xf numFmtId="171" fontId="0" fillId="0" borderId="15" xfId="1" applyNumberFormat="1" applyFont="1" applyBorder="1"/>
    <xf numFmtId="171" fontId="0" fillId="0" borderId="5" xfId="0" applyNumberFormat="1" applyBorder="1"/>
    <xf numFmtId="165" fontId="0" fillId="0" borderId="14" xfId="1" applyFont="1" applyBorder="1"/>
    <xf numFmtId="0" fontId="7" fillId="0" borderId="11" xfId="0" applyFont="1" applyBorder="1"/>
    <xf numFmtId="0" fontId="8" fillId="0" borderId="11" xfId="0" applyFont="1" applyBorder="1"/>
    <xf numFmtId="0" fontId="0" fillId="0" borderId="15" xfId="0" applyBorder="1"/>
    <xf numFmtId="0" fontId="0" fillId="0" borderId="5" xfId="0" applyBorder="1"/>
    <xf numFmtId="1" fontId="0" fillId="0" borderId="0" xfId="0" applyNumberFormat="1"/>
    <xf numFmtId="172" fontId="0" fillId="0" borderId="0" xfId="0" applyNumberFormat="1"/>
    <xf numFmtId="167" fontId="0" fillId="0" borderId="0" xfId="0" applyNumberFormat="1"/>
    <xf numFmtId="10" fontId="0" fillId="0" borderId="0" xfId="14" applyNumberFormat="1" applyFont="1"/>
    <xf numFmtId="173" fontId="0" fillId="0" borderId="0" xfId="14" applyNumberFormat="1" applyFont="1"/>
    <xf numFmtId="174" fontId="0" fillId="0" borderId="0" xfId="0" applyNumberFormat="1"/>
    <xf numFmtId="167" fontId="0" fillId="0" borderId="0" xfId="2" applyFont="1"/>
    <xf numFmtId="9" fontId="0" fillId="0" borderId="0" xfId="14" applyFont="1"/>
    <xf numFmtId="165" fontId="0" fillId="0" borderId="29" xfId="1" applyFont="1" applyBorder="1"/>
    <xf numFmtId="165" fontId="0" fillId="0" borderId="1" xfId="1" applyFont="1" applyBorder="1"/>
    <xf numFmtId="0" fontId="2" fillId="0" borderId="31" xfId="0" applyFont="1" applyBorder="1"/>
    <xf numFmtId="0" fontId="2" fillId="0" borderId="20" xfId="0" applyFont="1" applyBorder="1"/>
    <xf numFmtId="171" fontId="0" fillId="0" borderId="1" xfId="0" applyNumberFormat="1" applyBorder="1"/>
    <xf numFmtId="175" fontId="0" fillId="0" borderId="29" xfId="1" applyNumberFormat="1" applyFont="1" applyFill="1" applyBorder="1"/>
    <xf numFmtId="2" fontId="0" fillId="0" borderId="1" xfId="0" applyNumberFormat="1" applyBorder="1"/>
    <xf numFmtId="170" fontId="3" fillId="0" borderId="1" xfId="12" applyNumberFormat="1" applyFont="1" applyFill="1" applyBorder="1" applyAlignment="1">
      <alignment horizontal="center" vertical="center" wrapText="1"/>
    </xf>
    <xf numFmtId="170" fontId="3" fillId="0" borderId="5" xfId="12" applyNumberFormat="1" applyFont="1" applyFill="1" applyBorder="1" applyAlignment="1">
      <alignment horizontal="center" vertical="center" wrapText="1"/>
    </xf>
    <xf numFmtId="171" fontId="0" fillId="0" borderId="1" xfId="1" applyNumberFormat="1" applyFont="1" applyBorder="1" applyAlignment="1">
      <alignment horizontal="center"/>
    </xf>
    <xf numFmtId="0" fontId="0" fillId="0" borderId="1" xfId="0" applyBorder="1" applyAlignment="1">
      <alignment horizontal="center"/>
    </xf>
    <xf numFmtId="2" fontId="0" fillId="0" borderId="15" xfId="0" applyNumberFormat="1" applyBorder="1" applyAlignment="1">
      <alignment horizontal="center"/>
    </xf>
    <xf numFmtId="0" fontId="3" fillId="0" borderId="1" xfId="6" applyBorder="1" applyAlignment="1">
      <alignment horizontal="center"/>
    </xf>
    <xf numFmtId="2" fontId="3" fillId="0" borderId="1" xfId="13" applyNumberFormat="1" applyFont="1" applyFill="1" applyBorder="1" applyAlignment="1">
      <alignment horizontal="center"/>
    </xf>
    <xf numFmtId="170" fontId="3" fillId="0" borderId="1" xfId="1" applyNumberFormat="1" applyFont="1" applyFill="1" applyBorder="1" applyAlignment="1">
      <alignment horizontal="center" vertical="center"/>
    </xf>
    <xf numFmtId="170" fontId="0" fillId="0" borderId="0" xfId="0" applyNumberFormat="1"/>
    <xf numFmtId="0" fontId="0" fillId="0" borderId="14" xfId="0" applyBorder="1" applyAlignment="1">
      <alignment horizontal="center" vertical="center"/>
    </xf>
    <xf numFmtId="0" fontId="0" fillId="0" borderId="13" xfId="0" applyBorder="1" applyAlignment="1">
      <alignment horizontal="center" vertical="center"/>
    </xf>
    <xf numFmtId="0" fontId="11" fillId="3" borderId="28" xfId="0" applyFont="1" applyFill="1" applyBorder="1" applyAlignment="1">
      <alignment horizontal="justify" vertical="center"/>
    </xf>
    <xf numFmtId="0" fontId="5" fillId="0" borderId="1" xfId="6" applyFont="1" applyBorder="1" applyAlignment="1">
      <alignment horizontal="left" vertical="center" wrapText="1"/>
    </xf>
    <xf numFmtId="0" fontId="3" fillId="0" borderId="0" xfId="6" applyAlignment="1">
      <alignment horizontal="center" vertical="center"/>
    </xf>
    <xf numFmtId="0" fontId="3" fillId="0" borderId="0" xfId="6" applyAlignment="1">
      <alignment horizontal="left" vertical="center" wrapText="1"/>
    </xf>
    <xf numFmtId="2" fontId="3" fillId="0" borderId="0" xfId="13" applyNumberFormat="1" applyFont="1" applyFill="1" applyBorder="1" applyAlignment="1">
      <alignment horizontal="center" vertical="center"/>
    </xf>
    <xf numFmtId="170" fontId="3" fillId="0" borderId="0" xfId="1" applyNumberFormat="1" applyFont="1" applyFill="1" applyBorder="1" applyAlignment="1">
      <alignment horizontal="center" vertical="center"/>
    </xf>
    <xf numFmtId="0" fontId="3" fillId="4" borderId="1" xfId="6" applyFill="1" applyBorder="1" applyAlignment="1">
      <alignment horizontal="center" vertical="center"/>
    </xf>
    <xf numFmtId="2" fontId="3" fillId="4" borderId="1" xfId="13" applyNumberFormat="1" applyFont="1" applyFill="1" applyBorder="1" applyAlignment="1">
      <alignment horizontal="center" vertical="center"/>
    </xf>
    <xf numFmtId="170" fontId="3" fillId="4" borderId="1" xfId="1" applyNumberFormat="1" applyFont="1" applyFill="1" applyBorder="1" applyAlignment="1">
      <alignment horizontal="center" vertical="center"/>
    </xf>
    <xf numFmtId="0" fontId="5" fillId="4" borderId="1" xfId="6" applyFont="1" applyFill="1" applyBorder="1" applyAlignment="1">
      <alignment horizontal="right" vertical="center" wrapText="1"/>
    </xf>
    <xf numFmtId="178" fontId="0" fillId="0" borderId="1" xfId="0" applyNumberFormat="1" applyBorder="1"/>
    <xf numFmtId="178" fontId="0" fillId="0" borderId="14" xfId="0" applyNumberFormat="1" applyBorder="1"/>
    <xf numFmtId="179" fontId="0" fillId="0" borderId="14" xfId="0" applyNumberFormat="1" applyBorder="1"/>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left"/>
    </xf>
    <xf numFmtId="2" fontId="0" fillId="0" borderId="0" xfId="0" applyNumberFormat="1"/>
    <xf numFmtId="178" fontId="0" fillId="0" borderId="1" xfId="0" applyNumberFormat="1" applyBorder="1" applyAlignment="1">
      <alignment horizontal="center"/>
    </xf>
    <xf numFmtId="0" fontId="2" fillId="0" borderId="32" xfId="0" applyFont="1" applyBorder="1"/>
    <xf numFmtId="0" fontId="2" fillId="0" borderId="1" xfId="0" applyFont="1" applyBorder="1"/>
    <xf numFmtId="0" fontId="0" fillId="0" borderId="11" xfId="0" applyBorder="1"/>
    <xf numFmtId="0" fontId="0" fillId="0" borderId="32" xfId="0" applyBorder="1"/>
    <xf numFmtId="165" fontId="2" fillId="0" borderId="1" xfId="1" applyFont="1" applyBorder="1"/>
    <xf numFmtId="165" fontId="0" fillId="0" borderId="1" xfId="1" applyFont="1" applyBorder="1" applyAlignment="1">
      <alignment horizontal="center"/>
    </xf>
    <xf numFmtId="165" fontId="1" fillId="0" borderId="1" xfId="1" applyFont="1" applyBorder="1" applyAlignment="1">
      <alignment horizontal="center"/>
    </xf>
    <xf numFmtId="0" fontId="0" fillId="0" borderId="1" xfId="0" applyBorder="1" applyAlignment="1">
      <alignment horizontal="center" vertical="center"/>
    </xf>
    <xf numFmtId="165" fontId="0" fillId="0" borderId="1" xfId="1" applyFont="1" applyBorder="1" applyAlignment="1">
      <alignment horizontal="center" vertical="center"/>
    </xf>
    <xf numFmtId="1" fontId="0" fillId="0" borderId="1" xfId="0" applyNumberFormat="1" applyBorder="1"/>
    <xf numFmtId="178" fontId="0" fillId="0" borderId="1" xfId="0" applyNumberFormat="1" applyBorder="1" applyAlignment="1">
      <alignment horizontal="center" vertical="center"/>
    </xf>
    <xf numFmtId="165" fontId="0" fillId="0" borderId="32" xfId="1" applyFont="1" applyBorder="1"/>
    <xf numFmtId="165" fontId="0" fillId="0" borderId="5" xfId="1" applyFont="1" applyBorder="1"/>
    <xf numFmtId="176" fontId="0" fillId="0" borderId="1" xfId="1" applyNumberFormat="1" applyFont="1" applyBorder="1" applyAlignment="1">
      <alignment horizontal="center"/>
    </xf>
    <xf numFmtId="176" fontId="0" fillId="0" borderId="1" xfId="1" applyNumberFormat="1" applyFont="1" applyBorder="1"/>
    <xf numFmtId="0" fontId="7" fillId="0" borderId="32" xfId="0" applyFont="1" applyBorder="1"/>
    <xf numFmtId="0" fontId="8" fillId="0" borderId="32" xfId="0" applyFont="1" applyBorder="1"/>
    <xf numFmtId="165" fontId="0" fillId="0" borderId="5" xfId="0" applyNumberFormat="1" applyBorder="1"/>
    <xf numFmtId="176" fontId="0" fillId="0" borderId="1" xfId="1" applyNumberFormat="1" applyFont="1" applyBorder="1" applyAlignment="1">
      <alignment horizontal="center" vertical="center"/>
    </xf>
    <xf numFmtId="2" fontId="0" fillId="0" borderId="1" xfId="1" applyNumberFormat="1" applyFont="1" applyBorder="1"/>
    <xf numFmtId="9" fontId="3" fillId="4" borderId="1" xfId="14" applyFont="1" applyFill="1" applyBorder="1" applyAlignment="1">
      <alignment horizontal="center" vertical="center"/>
    </xf>
    <xf numFmtId="176" fontId="0" fillId="0" borderId="0" xfId="1" applyNumberFormat="1" applyFont="1"/>
    <xf numFmtId="10" fontId="3" fillId="4" borderId="1" xfId="14" applyNumberFormat="1" applyFont="1" applyFill="1" applyBorder="1" applyAlignment="1">
      <alignment horizontal="center" vertical="center"/>
    </xf>
    <xf numFmtId="0" fontId="15" fillId="0" borderId="1" xfId="17" applyFont="1" applyBorder="1" applyAlignment="1">
      <alignment horizontal="center" vertical="center"/>
    </xf>
    <xf numFmtId="0" fontId="15" fillId="0" borderId="1" xfId="17" applyFont="1" applyBorder="1" applyAlignment="1" applyProtection="1">
      <alignment horizontal="center" vertical="center"/>
      <protection locked="0"/>
    </xf>
    <xf numFmtId="0" fontId="15" fillId="0" borderId="1" xfId="17" applyFont="1" applyBorder="1" applyAlignment="1" applyProtection="1">
      <alignment horizontal="justify" vertical="center"/>
      <protection locked="0"/>
    </xf>
    <xf numFmtId="180" fontId="15" fillId="0" borderId="1" xfId="18" applyNumberFormat="1" applyFont="1" applyFill="1" applyBorder="1" applyAlignment="1" applyProtection="1">
      <alignment vertical="center"/>
    </xf>
    <xf numFmtId="9" fontId="15" fillId="0" borderId="1" xfId="10" applyFont="1" applyBorder="1" applyAlignment="1" applyProtection="1">
      <alignment horizontal="center" vertical="center"/>
      <protection locked="0"/>
    </xf>
    <xf numFmtId="177" fontId="15" fillId="0" borderId="1" xfId="17" applyNumberFormat="1" applyFont="1" applyBorder="1" applyAlignment="1" applyProtection="1">
      <alignment horizontal="center" vertical="center"/>
      <protection locked="0"/>
    </xf>
    <xf numFmtId="180" fontId="15" fillId="0" borderId="1" xfId="18" applyNumberFormat="1" applyFont="1" applyFill="1" applyBorder="1" applyAlignment="1" applyProtection="1">
      <alignment vertical="center"/>
      <protection locked="0"/>
    </xf>
    <xf numFmtId="0" fontId="15" fillId="0" borderId="1" xfId="17" applyFont="1" applyBorder="1" applyAlignment="1">
      <alignment horizontal="justify" vertical="center" wrapText="1"/>
    </xf>
    <xf numFmtId="9" fontId="15" fillId="0" borderId="1" xfId="10" applyFont="1" applyBorder="1" applyAlignment="1">
      <alignment horizontal="center" vertical="center"/>
    </xf>
    <xf numFmtId="177" fontId="15" fillId="0" borderId="1" xfId="17" applyNumberFormat="1" applyFont="1" applyBorder="1" applyAlignment="1">
      <alignment horizontal="center" vertical="center"/>
    </xf>
    <xf numFmtId="0" fontId="14" fillId="0" borderId="30" xfId="17" applyFont="1" applyBorder="1" applyAlignment="1">
      <alignment vertical="center"/>
    </xf>
    <xf numFmtId="0" fontId="15" fillId="0" borderId="1" xfId="17" applyFont="1" applyBorder="1" applyAlignment="1">
      <alignment vertical="center" wrapText="1"/>
    </xf>
    <xf numFmtId="0" fontId="15" fillId="0" borderId="30" xfId="17" applyFont="1" applyBorder="1" applyAlignment="1">
      <alignment horizontal="justify" vertical="center" wrapText="1"/>
    </xf>
    <xf numFmtId="0" fontId="15" fillId="0" borderId="38" xfId="17" applyFont="1" applyBorder="1" applyAlignment="1">
      <alignment horizontal="center" vertical="center"/>
    </xf>
    <xf numFmtId="180" fontId="15" fillId="0" borderId="38" xfId="18" applyNumberFormat="1" applyFont="1" applyFill="1" applyBorder="1" applyAlignment="1" applyProtection="1">
      <alignment vertical="center"/>
    </xf>
    <xf numFmtId="177" fontId="15" fillId="0" borderId="38" xfId="17" applyNumberFormat="1" applyFont="1" applyBorder="1" applyAlignment="1">
      <alignment horizontal="center" vertical="center"/>
    </xf>
    <xf numFmtId="177" fontId="15" fillId="0" borderId="39" xfId="17" applyNumberFormat="1" applyFont="1" applyBorder="1" applyAlignment="1">
      <alignment horizontal="center" vertical="center"/>
    </xf>
    <xf numFmtId="0" fontId="15" fillId="0" borderId="1" xfId="17" applyFont="1" applyBorder="1" applyAlignment="1">
      <alignment horizontal="left" vertical="center"/>
    </xf>
    <xf numFmtId="180" fontId="15" fillId="0" borderId="38" xfId="18" applyNumberFormat="1" applyFont="1" applyFill="1" applyBorder="1" applyAlignment="1" applyProtection="1">
      <alignment horizontal="right" vertical="center"/>
    </xf>
    <xf numFmtId="1" fontId="14" fillId="0" borderId="39" xfId="17" applyNumberFormat="1" applyFont="1" applyBorder="1" applyAlignment="1">
      <alignment horizontal="center" vertical="center"/>
    </xf>
    <xf numFmtId="180" fontId="14" fillId="0" borderId="1" xfId="19" applyNumberFormat="1" applyFont="1" applyFill="1" applyBorder="1" applyAlignment="1" applyProtection="1">
      <alignment horizontal="right" vertical="center"/>
    </xf>
    <xf numFmtId="0" fontId="15" fillId="0" borderId="30" xfId="17" applyFont="1" applyBorder="1" applyAlignment="1">
      <alignment vertical="center"/>
    </xf>
    <xf numFmtId="180" fontId="15" fillId="0" borderId="39" xfId="18" applyNumberFormat="1" applyFont="1" applyFill="1" applyBorder="1" applyAlignment="1" applyProtection="1">
      <alignment horizontal="right" vertical="center"/>
    </xf>
    <xf numFmtId="4" fontId="14" fillId="0" borderId="1" xfId="19" applyNumberFormat="1" applyFont="1" applyFill="1" applyBorder="1" applyAlignment="1" applyProtection="1">
      <alignment vertical="center"/>
      <protection locked="0"/>
    </xf>
    <xf numFmtId="0" fontId="14" fillId="0" borderId="38" xfId="17" applyFont="1" applyBorder="1" applyAlignment="1">
      <alignment horizontal="left" vertical="center"/>
    </xf>
    <xf numFmtId="0" fontId="14" fillId="0" borderId="39" xfId="17" applyFont="1" applyBorder="1" applyAlignment="1">
      <alignment horizontal="left" vertical="center"/>
    </xf>
    <xf numFmtId="180" fontId="14" fillId="0" borderId="1" xfId="19" applyNumberFormat="1" applyFont="1" applyFill="1" applyBorder="1" applyAlignment="1" applyProtection="1">
      <alignment horizontal="left" vertical="center"/>
    </xf>
    <xf numFmtId="0" fontId="16" fillId="0" borderId="1" xfId="17" applyFont="1" applyBorder="1" applyAlignment="1">
      <alignment horizontal="left" vertical="center"/>
    </xf>
    <xf numFmtId="0" fontId="14" fillId="5" borderId="1" xfId="17" applyFont="1" applyFill="1" applyBorder="1" applyAlignment="1">
      <alignment horizontal="left" vertical="center"/>
    </xf>
    <xf numFmtId="0" fontId="14" fillId="5" borderId="1" xfId="17" applyFont="1" applyFill="1" applyBorder="1" applyAlignment="1">
      <alignment horizontal="center" vertical="center"/>
    </xf>
    <xf numFmtId="0" fontId="14" fillId="5" borderId="1" xfId="17" applyFont="1" applyFill="1" applyBorder="1" applyAlignment="1">
      <alignment horizontal="center" vertical="center" wrapText="1"/>
    </xf>
    <xf numFmtId="3" fontId="14" fillId="5" borderId="1" xfId="17" applyNumberFormat="1" applyFont="1" applyFill="1" applyBorder="1" applyAlignment="1">
      <alignment horizontal="center" vertical="center" wrapText="1"/>
    </xf>
    <xf numFmtId="2" fontId="15" fillId="0" borderId="1" xfId="15" applyNumberFormat="1" applyFont="1" applyBorder="1" applyAlignment="1" applyProtection="1">
      <alignment vertical="center"/>
    </xf>
    <xf numFmtId="0" fontId="15" fillId="0" borderId="1" xfId="17" applyFont="1" applyBorder="1" applyAlignment="1">
      <alignment vertical="center"/>
    </xf>
    <xf numFmtId="2" fontId="15" fillId="0" borderId="1" xfId="17" applyNumberFormat="1" applyFont="1" applyBorder="1" applyAlignment="1">
      <alignment vertical="center"/>
    </xf>
    <xf numFmtId="0" fontId="15" fillId="0" borderId="0" xfId="17" applyFont="1" applyAlignment="1">
      <alignment vertical="center"/>
    </xf>
    <xf numFmtId="2" fontId="15" fillId="0" borderId="0" xfId="17" applyNumberFormat="1" applyFont="1" applyAlignment="1">
      <alignment vertical="center"/>
    </xf>
    <xf numFmtId="0" fontId="14" fillId="0" borderId="1" xfId="17" applyFont="1" applyBorder="1" applyAlignment="1">
      <alignment horizontal="center" vertical="center"/>
    </xf>
    <xf numFmtId="178" fontId="15" fillId="0" borderId="1" xfId="17" applyNumberFormat="1" applyFont="1" applyBorder="1" applyAlignment="1">
      <alignment horizontal="center" vertical="center"/>
    </xf>
    <xf numFmtId="0" fontId="14" fillId="6" borderId="1" xfId="17" applyFont="1" applyFill="1" applyBorder="1" applyAlignment="1">
      <alignment horizontal="center" vertical="center"/>
    </xf>
    <xf numFmtId="0" fontId="15" fillId="6" borderId="1" xfId="17" applyFont="1" applyFill="1" applyBorder="1" applyAlignment="1">
      <alignment horizontal="left" vertical="center"/>
    </xf>
    <xf numFmtId="0" fontId="14" fillId="6" borderId="1" xfId="17" applyFont="1" applyFill="1" applyBorder="1" applyAlignment="1">
      <alignment horizontal="left" vertical="center"/>
    </xf>
    <xf numFmtId="0" fontId="14" fillId="6" borderId="1" xfId="17" applyFont="1" applyFill="1" applyBorder="1" applyAlignment="1">
      <alignment horizontal="center" vertical="center" wrapText="1"/>
    </xf>
    <xf numFmtId="3" fontId="14" fillId="6" borderId="1" xfId="17" applyNumberFormat="1" applyFont="1" applyFill="1" applyBorder="1" applyAlignment="1">
      <alignment horizontal="center" vertical="center" wrapText="1"/>
    </xf>
    <xf numFmtId="180" fontId="14" fillId="6" borderId="1" xfId="19" applyNumberFormat="1" applyFont="1" applyFill="1" applyBorder="1" applyAlignment="1" applyProtection="1">
      <alignment horizontal="left" vertical="center"/>
    </xf>
    <xf numFmtId="0" fontId="13" fillId="0" borderId="1" xfId="16" applyFont="1" applyBorder="1" applyAlignment="1">
      <alignment vertical="center"/>
    </xf>
    <xf numFmtId="0" fontId="13" fillId="0" borderId="1" xfId="16" applyFont="1" applyBorder="1" applyAlignment="1">
      <alignment horizontal="center" vertical="center" wrapText="1"/>
    </xf>
    <xf numFmtId="0" fontId="14" fillId="0" borderId="1" xfId="16" applyFont="1" applyBorder="1" applyAlignment="1">
      <alignment horizontal="center" vertical="center" wrapText="1"/>
    </xf>
    <xf numFmtId="0" fontId="13" fillId="0" borderId="1" xfId="16" applyFont="1" applyBorder="1" applyAlignment="1">
      <alignment horizontal="left" vertical="center" wrapText="1"/>
    </xf>
    <xf numFmtId="0" fontId="20" fillId="0" borderId="1" xfId="21" applyFont="1" applyBorder="1" applyAlignment="1">
      <alignment horizontal="center" vertical="center" wrapText="1"/>
    </xf>
    <xf numFmtId="0" fontId="21" fillId="0" borderId="1" xfId="22" applyFont="1" applyBorder="1" applyAlignment="1">
      <alignment horizontal="center" vertical="center"/>
    </xf>
    <xf numFmtId="3" fontId="21" fillId="0" borderId="1" xfId="22" applyNumberFormat="1" applyFont="1" applyBorder="1" applyAlignment="1">
      <alignment horizontal="center" vertical="center"/>
    </xf>
    <xf numFmtId="182" fontId="21" fillId="0" borderId="1" xfId="23" applyNumberFormat="1" applyFont="1" applyFill="1" applyBorder="1" applyAlignment="1">
      <alignment horizontal="center" vertical="center"/>
    </xf>
    <xf numFmtId="0" fontId="21" fillId="0" borderId="1" xfId="20" applyFont="1" applyBorder="1" applyAlignment="1" applyProtection="1">
      <alignment horizontal="center" vertical="center"/>
      <protection locked="0"/>
    </xf>
    <xf numFmtId="182" fontId="21" fillId="0" borderId="1" xfId="23" applyNumberFormat="1" applyFont="1" applyBorder="1" applyAlignment="1">
      <alignment horizontal="center" vertical="center"/>
    </xf>
    <xf numFmtId="0" fontId="14" fillId="7" borderId="1" xfId="17" applyFont="1" applyFill="1" applyBorder="1" applyAlignment="1">
      <alignment horizontal="center" vertical="center"/>
    </xf>
    <xf numFmtId="0" fontId="14" fillId="7" borderId="30" xfId="17" applyFont="1" applyFill="1" applyBorder="1" applyAlignment="1">
      <alignment vertical="center"/>
    </xf>
    <xf numFmtId="0" fontId="14" fillId="7" borderId="38" xfId="17" applyFont="1" applyFill="1" applyBorder="1" applyAlignment="1">
      <alignment vertical="center"/>
    </xf>
    <xf numFmtId="2" fontId="14" fillId="7" borderId="39" xfId="17" applyNumberFormat="1" applyFont="1" applyFill="1" applyBorder="1" applyAlignment="1">
      <alignment vertical="center"/>
    </xf>
    <xf numFmtId="0" fontId="14" fillId="7" borderId="1" xfId="17" applyFont="1" applyFill="1" applyBorder="1" applyAlignment="1">
      <alignment horizontal="left" vertical="center"/>
    </xf>
    <xf numFmtId="2" fontId="17" fillId="7" borderId="39" xfId="17" applyNumberFormat="1" applyFont="1" applyFill="1" applyBorder="1" applyAlignment="1">
      <alignment vertical="center"/>
    </xf>
    <xf numFmtId="0" fontId="13" fillId="7" borderId="1" xfId="16" applyFont="1" applyFill="1" applyBorder="1" applyAlignment="1">
      <alignment vertical="center"/>
    </xf>
    <xf numFmtId="0" fontId="13" fillId="7" borderId="1" xfId="16" applyFont="1" applyFill="1" applyBorder="1" applyAlignment="1">
      <alignment horizontal="center" vertical="center" wrapText="1"/>
    </xf>
    <xf numFmtId="0" fontId="14" fillId="7" borderId="1" xfId="16" applyFont="1" applyFill="1" applyBorder="1" applyAlignment="1">
      <alignment horizontal="center" vertical="center" wrapText="1"/>
    </xf>
    <xf numFmtId="0" fontId="13" fillId="7" borderId="1" xfId="16" applyFont="1" applyFill="1" applyBorder="1" applyAlignment="1">
      <alignment horizontal="left" vertical="center" wrapText="1"/>
    </xf>
    <xf numFmtId="0" fontId="18" fillId="7" borderId="1" xfId="20" applyFont="1" applyFill="1" applyBorder="1" applyAlignment="1">
      <alignment horizontal="center" vertical="center" wrapText="1"/>
    </xf>
    <xf numFmtId="0" fontId="19" fillId="7" borderId="1" xfId="20" applyFont="1" applyFill="1" applyBorder="1" applyAlignment="1">
      <alignment horizontal="center" vertical="center" wrapText="1"/>
    </xf>
    <xf numFmtId="0" fontId="18" fillId="7" borderId="1" xfId="21" applyFont="1" applyFill="1" applyBorder="1" applyAlignment="1">
      <alignment horizontal="center" vertical="center" wrapText="1"/>
    </xf>
    <xf numFmtId="0" fontId="21" fillId="0" borderId="41" xfId="22" applyFont="1" applyBorder="1" applyAlignment="1">
      <alignment horizontal="center" vertical="center"/>
    </xf>
    <xf numFmtId="3" fontId="21" fillId="0" borderId="41" xfId="22" applyNumberFormat="1" applyFont="1" applyBorder="1" applyAlignment="1">
      <alignment horizontal="center" vertical="center"/>
    </xf>
    <xf numFmtId="182" fontId="21" fillId="0" borderId="41" xfId="23" applyNumberFormat="1" applyFont="1" applyFill="1" applyBorder="1" applyAlignment="1">
      <alignment horizontal="center" vertical="center"/>
    </xf>
    <xf numFmtId="182" fontId="21" fillId="0" borderId="41" xfId="23" applyNumberFormat="1" applyFont="1" applyBorder="1" applyAlignment="1">
      <alignment horizontal="center" vertical="center"/>
    </xf>
    <xf numFmtId="0" fontId="0" fillId="0" borderId="7" xfId="0" applyBorder="1"/>
    <xf numFmtId="3" fontId="19" fillId="7" borderId="1" xfId="20" applyNumberFormat="1" applyFont="1" applyFill="1" applyBorder="1" applyAlignment="1">
      <alignment horizontal="center" vertical="center" wrapText="1"/>
    </xf>
    <xf numFmtId="0" fontId="21" fillId="0" borderId="1" xfId="22" applyFont="1" applyBorder="1" applyAlignment="1">
      <alignment horizontal="left" vertical="center" wrapText="1"/>
    </xf>
    <xf numFmtId="9" fontId="0" fillId="0" borderId="7" xfId="0" applyNumberFormat="1" applyBorder="1"/>
    <xf numFmtId="182" fontId="2" fillId="0" borderId="8" xfId="0" applyNumberFormat="1" applyFont="1" applyBorder="1"/>
    <xf numFmtId="165" fontId="0" fillId="0" borderId="34" xfId="1" applyFont="1" applyBorder="1"/>
    <xf numFmtId="165" fontId="0" fillId="0" borderId="15" xfId="1" applyFont="1" applyBorder="1"/>
    <xf numFmtId="2" fontId="0" fillId="0" borderId="1" xfId="0" applyNumberFormat="1" applyBorder="1" applyAlignment="1">
      <alignment horizontal="center" vertical="center"/>
    </xf>
    <xf numFmtId="1" fontId="0" fillId="0" borderId="5" xfId="0" applyNumberFormat="1" applyBorder="1"/>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7" fillId="0" borderId="30" xfId="17" applyFont="1" applyBorder="1" applyAlignment="1">
      <alignment horizontal="left" vertical="center"/>
    </xf>
    <xf numFmtId="0" fontId="17" fillId="0" borderId="38" xfId="17" applyFont="1" applyBorder="1" applyAlignment="1">
      <alignment horizontal="left" vertical="center"/>
    </xf>
    <xf numFmtId="9" fontId="17" fillId="0" borderId="30" xfId="17" applyNumberFormat="1" applyFont="1" applyBorder="1" applyAlignment="1">
      <alignment horizontal="right" vertical="center"/>
    </xf>
    <xf numFmtId="0" fontId="17" fillId="0" borderId="38" xfId="17" applyFont="1" applyBorder="1" applyAlignment="1">
      <alignment horizontal="right" vertical="center"/>
    </xf>
    <xf numFmtId="0" fontId="14" fillId="6" borderId="30" xfId="17" applyFont="1" applyFill="1" applyBorder="1" applyAlignment="1">
      <alignment horizontal="left" vertical="center"/>
    </xf>
    <xf numFmtId="0" fontId="14" fillId="6" borderId="38" xfId="17" applyFont="1" applyFill="1" applyBorder="1" applyAlignment="1">
      <alignment horizontal="left" vertical="center"/>
    </xf>
    <xf numFmtId="0" fontId="14" fillId="6" borderId="39" xfId="17" applyFont="1" applyFill="1" applyBorder="1" applyAlignment="1">
      <alignment horizontal="left" vertical="center"/>
    </xf>
    <xf numFmtId="0" fontId="15" fillId="0" borderId="30" xfId="17" applyFont="1" applyBorder="1" applyAlignment="1">
      <alignment horizontal="left" vertical="center" wrapText="1"/>
    </xf>
    <xf numFmtId="0" fontId="15" fillId="0" borderId="38" xfId="17" applyFont="1" applyBorder="1" applyAlignment="1">
      <alignment horizontal="left" vertical="center" wrapText="1"/>
    </xf>
    <xf numFmtId="0" fontId="15" fillId="0" borderId="39" xfId="17" applyFont="1" applyBorder="1" applyAlignment="1">
      <alignment horizontal="left" vertical="center" wrapText="1"/>
    </xf>
    <xf numFmtId="0" fontId="13" fillId="0" borderId="1" xfId="16" applyFont="1" applyBorder="1" applyAlignment="1">
      <alignment horizontal="center" vertical="center" wrapText="1"/>
    </xf>
    <xf numFmtId="0" fontId="14" fillId="0" borderId="1" xfId="17" applyFont="1" applyBorder="1" applyAlignment="1">
      <alignment horizontal="left" vertical="center"/>
    </xf>
    <xf numFmtId="177" fontId="14" fillId="0" borderId="1" xfId="17" applyNumberFormat="1" applyFont="1" applyBorder="1" applyAlignment="1">
      <alignment horizontal="left" vertical="center" wrapText="1"/>
    </xf>
    <xf numFmtId="0" fontId="14" fillId="0" borderId="30" xfId="17" applyFont="1" applyBorder="1" applyAlignment="1">
      <alignment horizontal="left" vertical="center"/>
    </xf>
    <xf numFmtId="0" fontId="14" fillId="0" borderId="38" xfId="17" applyFont="1" applyBorder="1" applyAlignment="1">
      <alignment horizontal="left" vertical="center"/>
    </xf>
    <xf numFmtId="0" fontId="14" fillId="0" borderId="39" xfId="17" applyFont="1" applyBorder="1" applyAlignment="1">
      <alignment horizontal="left" vertical="center"/>
    </xf>
    <xf numFmtId="0" fontId="15" fillId="0" borderId="30" xfId="17" applyFont="1" applyBorder="1" applyAlignment="1">
      <alignment horizontal="left" vertical="center"/>
    </xf>
    <xf numFmtId="0" fontId="15" fillId="0" borderId="39" xfId="17" applyFont="1" applyBorder="1" applyAlignment="1">
      <alignment horizontal="left" vertical="center"/>
    </xf>
    <xf numFmtId="0" fontId="14" fillId="0" borderId="0" xfId="17" applyFont="1" applyAlignment="1">
      <alignment horizontal="center" vertical="center" wrapText="1"/>
    </xf>
    <xf numFmtId="0" fontId="13" fillId="7" borderId="1" xfId="16" applyFont="1" applyFill="1" applyBorder="1" applyAlignment="1">
      <alignment horizontal="center" vertical="center" wrapText="1"/>
    </xf>
    <xf numFmtId="0" fontId="2" fillId="0" borderId="6" xfId="0" applyFont="1" applyBorder="1" applyAlignment="1">
      <alignment horizontal="center"/>
    </xf>
    <xf numFmtId="0" fontId="2" fillId="0" borderId="7" xfId="0" applyFont="1" applyBorder="1" applyAlignment="1">
      <alignment horizontal="center"/>
    </xf>
    <xf numFmtId="0" fontId="2" fillId="0" borderId="6" xfId="0" applyFont="1" applyBorder="1" applyAlignment="1">
      <alignment horizontal="right"/>
    </xf>
    <xf numFmtId="0" fontId="2" fillId="0" borderId="7" xfId="0" applyFont="1" applyBorder="1" applyAlignment="1">
      <alignment horizontal="right"/>
    </xf>
    <xf numFmtId="0" fontId="2" fillId="0" borderId="8" xfId="0" applyFont="1" applyBorder="1" applyAlignment="1">
      <alignment horizontal="right"/>
    </xf>
    <xf numFmtId="0" fontId="2" fillId="0" borderId="21" xfId="0" applyFont="1" applyBorder="1" applyAlignment="1">
      <alignment horizontal="left"/>
    </xf>
    <xf numFmtId="0" fontId="2" fillId="0" borderId="22" xfId="0" applyFont="1" applyBorder="1" applyAlignment="1">
      <alignment horizontal="left"/>
    </xf>
    <xf numFmtId="0" fontId="2" fillId="0" borderId="10" xfId="0" applyFont="1" applyBorder="1" applyAlignment="1">
      <alignment horizontal="center"/>
    </xf>
    <xf numFmtId="0" fontId="2" fillId="0" borderId="11" xfId="0" applyFont="1" applyBorder="1" applyAlignment="1">
      <alignment horizontal="center"/>
    </xf>
    <xf numFmtId="0" fontId="0" fillId="0" borderId="13" xfId="0" applyBorder="1" applyAlignment="1">
      <alignment horizontal="left"/>
    </xf>
    <xf numFmtId="0" fontId="0" fillId="0" borderId="14" xfId="0" applyBorder="1" applyAlignment="1">
      <alignment horizontal="left"/>
    </xf>
    <xf numFmtId="0" fontId="0" fillId="0" borderId="9" xfId="0" applyBorder="1" applyAlignment="1">
      <alignment horizontal="left"/>
    </xf>
    <xf numFmtId="0" fontId="0" fillId="0" borderId="1" xfId="0" applyBorder="1" applyAlignment="1">
      <alignment horizontal="left"/>
    </xf>
    <xf numFmtId="0" fontId="0" fillId="0" borderId="23" xfId="0" applyBorder="1" applyAlignment="1">
      <alignment horizontal="left"/>
    </xf>
    <xf numFmtId="0" fontId="0" fillId="0" borderId="24" xfId="0" applyBorder="1" applyAlignment="1">
      <alignment horizontal="left"/>
    </xf>
    <xf numFmtId="0" fontId="0" fillId="0" borderId="25" xfId="0" applyBorder="1" applyAlignment="1">
      <alignment horizontal="left"/>
    </xf>
    <xf numFmtId="0" fontId="0" fillId="0" borderId="16" xfId="0" applyBorder="1" applyAlignment="1">
      <alignment horizontal="left"/>
    </xf>
    <xf numFmtId="0" fontId="0" fillId="0" borderId="0" xfId="0" applyAlignment="1">
      <alignment horizontal="left"/>
    </xf>
    <xf numFmtId="0" fontId="0" fillId="0" borderId="17" xfId="0" applyBorder="1" applyAlignment="1">
      <alignment horizontal="left"/>
    </xf>
    <xf numFmtId="0" fontId="0" fillId="0" borderId="26" xfId="0" applyBorder="1" applyAlignment="1">
      <alignment horizontal="left"/>
    </xf>
    <xf numFmtId="0" fontId="0" fillId="0" borderId="27" xfId="0" applyBorder="1" applyAlignment="1">
      <alignment horizontal="left"/>
    </xf>
    <xf numFmtId="0" fontId="0" fillId="0" borderId="28" xfId="0" applyBorder="1" applyAlignment="1">
      <alignment horizontal="left"/>
    </xf>
    <xf numFmtId="1" fontId="0" fillId="0" borderId="13" xfId="0" applyNumberFormat="1" applyBorder="1" applyAlignment="1">
      <alignment horizontal="left"/>
    </xf>
    <xf numFmtId="0" fontId="2" fillId="0" borderId="19" xfId="0" applyFont="1" applyBorder="1" applyAlignment="1">
      <alignment horizontal="left"/>
    </xf>
    <xf numFmtId="0" fontId="2" fillId="0" borderId="20" xfId="0" applyFont="1" applyBorder="1" applyAlignment="1">
      <alignment horizontal="left"/>
    </xf>
    <xf numFmtId="0" fontId="0" fillId="0" borderId="0" xfId="0" applyAlignment="1">
      <alignment horizontal="center"/>
    </xf>
    <xf numFmtId="0" fontId="0" fillId="0" borderId="17" xfId="0" applyBorder="1" applyAlignment="1">
      <alignment horizontal="center"/>
    </xf>
    <xf numFmtId="0" fontId="0" fillId="0" borderId="14" xfId="0" applyBorder="1" applyAlignment="1">
      <alignment horizontal="left" wrapText="1"/>
    </xf>
    <xf numFmtId="0" fontId="0" fillId="0" borderId="16" xfId="0" applyBorder="1" applyAlignment="1">
      <alignment horizontal="center"/>
    </xf>
    <xf numFmtId="1" fontId="0" fillId="0" borderId="9" xfId="0" applyNumberFormat="1" applyBorder="1" applyAlignment="1">
      <alignment horizontal="left" wrapText="1"/>
    </xf>
    <xf numFmtId="0" fontId="0" fillId="0" borderId="9" xfId="0" applyBorder="1" applyAlignment="1">
      <alignment horizontal="left" wrapText="1"/>
    </xf>
    <xf numFmtId="0" fontId="2" fillId="0" borderId="40" xfId="0" applyFont="1" applyBorder="1" applyAlignment="1">
      <alignment horizontal="center"/>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left"/>
    </xf>
    <xf numFmtId="0" fontId="2" fillId="0" borderId="6" xfId="0" applyFont="1" applyBorder="1" applyAlignment="1">
      <alignment horizontal="left"/>
    </xf>
    <xf numFmtId="0" fontId="2" fillId="0" borderId="8" xfId="0" applyFont="1" applyBorder="1" applyAlignment="1">
      <alignment horizontal="left"/>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1" fontId="0" fillId="0" borderId="36" xfId="0" applyNumberFormat="1" applyBorder="1" applyAlignment="1">
      <alignment horizontal="left"/>
    </xf>
    <xf numFmtId="1" fontId="0" fillId="0" borderId="35" xfId="0" applyNumberFormat="1" applyBorder="1" applyAlignment="1">
      <alignment horizontal="left"/>
    </xf>
    <xf numFmtId="0" fontId="0" fillId="0" borderId="36" xfId="0" applyBorder="1" applyAlignment="1">
      <alignment horizontal="left" wrapText="1"/>
    </xf>
    <xf numFmtId="0" fontId="0" fillId="0" borderId="35" xfId="0" applyBorder="1" applyAlignment="1">
      <alignment horizontal="left" wrapText="1"/>
    </xf>
    <xf numFmtId="0" fontId="2" fillId="0" borderId="33" xfId="0" applyFont="1" applyBorder="1" applyAlignment="1">
      <alignment horizontal="left"/>
    </xf>
    <xf numFmtId="0" fontId="2" fillId="0" borderId="34" xfId="0" applyFont="1" applyBorder="1" applyAlignment="1">
      <alignment horizontal="left"/>
    </xf>
    <xf numFmtId="0" fontId="2" fillId="0" borderId="19" xfId="0" applyFont="1" applyBorder="1" applyAlignment="1">
      <alignment horizontal="center"/>
    </xf>
    <xf numFmtId="0" fontId="2" fillId="0" borderId="31" xfId="0" applyFont="1" applyBorder="1" applyAlignment="1">
      <alignment horizontal="center"/>
    </xf>
    <xf numFmtId="0" fontId="3" fillId="0" borderId="30" xfId="6" applyBorder="1" applyAlignment="1">
      <alignment horizontal="left" vertical="center" wrapText="1"/>
    </xf>
    <xf numFmtId="0" fontId="3" fillId="0" borderId="38" xfId="6" applyBorder="1" applyAlignment="1">
      <alignment horizontal="left" vertical="center" wrapText="1"/>
    </xf>
    <xf numFmtId="0" fontId="3" fillId="0" borderId="39" xfId="6" applyBorder="1" applyAlignment="1">
      <alignment horizontal="left" vertical="center" wrapText="1"/>
    </xf>
    <xf numFmtId="0" fontId="0" fillId="0" borderId="30" xfId="0" applyBorder="1" applyAlignment="1">
      <alignment horizontal="left"/>
    </xf>
    <xf numFmtId="0" fontId="0" fillId="0" borderId="30" xfId="0"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0" fillId="0" borderId="1" xfId="0" applyBorder="1" applyAlignment="1">
      <alignment horizontal="left" wrapText="1"/>
    </xf>
  </cellXfs>
  <cellStyles count="24">
    <cellStyle name="Millares" xfId="15" builtinId="3"/>
    <cellStyle name="Millares 10" xfId="2"/>
    <cellStyle name="Millares 3" xfId="13"/>
    <cellStyle name="Millares 8" xfId="5"/>
    <cellStyle name="Moneda" xfId="1" builtinId="4"/>
    <cellStyle name="Moneda [0]" xfId="12" builtinId="7"/>
    <cellStyle name="Moneda [0] 2" xfId="3"/>
    <cellStyle name="Moneda 2" xfId="4"/>
    <cellStyle name="Moneda 2 11" xfId="23"/>
    <cellStyle name="Moneda 3" xfId="9"/>
    <cellStyle name="Moneda 6 2 2" xfId="19"/>
    <cellStyle name="Moneda_presupuesto Colegio calazania 31 de agosto de 2009 1 2" xfId="18"/>
    <cellStyle name="Normal" xfId="0" builtinId="0"/>
    <cellStyle name="Normal 10" xfId="7"/>
    <cellStyle name="Normal 10 2" xfId="21"/>
    <cellStyle name="Normal 2 10 2 2" xfId="20"/>
    <cellStyle name="Normal 2 2" xfId="6"/>
    <cellStyle name="Normal 2 2 2 2 2 2" xfId="17"/>
    <cellStyle name="Normal 3 3 2" xfId="22"/>
    <cellStyle name="Normal 4 2" xfId="16"/>
    <cellStyle name="Normal 73" xfId="8"/>
    <cellStyle name="Porcentaje" xfId="14" builtinId="5"/>
    <cellStyle name="Porcentaje 2" xfId="10"/>
    <cellStyle name="Porcentaje 3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243416</xdr:colOff>
      <xdr:row>0</xdr:row>
      <xdr:rowOff>148166</xdr:rowOff>
    </xdr:from>
    <xdr:to>
      <xdr:col>5</xdr:col>
      <xdr:colOff>1100666</xdr:colOff>
      <xdr:row>0</xdr:row>
      <xdr:rowOff>973666</xdr:rowOff>
    </xdr:to>
    <xdr:pic>
      <xdr:nvPicPr>
        <xdr:cNvPr id="4" name="Imagen 3">
          <a:extLst>
            <a:ext uri="{FF2B5EF4-FFF2-40B4-BE49-F238E27FC236}">
              <a16:creationId xmlns:a16="http://schemas.microsoft.com/office/drawing/2014/main" xmlns="" id="{68CEDD30-93A0-84F1-FE82-E0BC8CE16A4F}"/>
            </a:ext>
          </a:extLst>
        </xdr:cNvPr>
        <xdr:cNvPicPr>
          <a:picLocks noChangeAspect="1"/>
        </xdr:cNvPicPr>
      </xdr:nvPicPr>
      <xdr:blipFill>
        <a:blip xmlns:r="http://schemas.openxmlformats.org/officeDocument/2006/relationships" r:embed="rId1"/>
        <a:stretch>
          <a:fillRect/>
        </a:stretch>
      </xdr:blipFill>
      <xdr:spPr>
        <a:xfrm>
          <a:off x="243416" y="148166"/>
          <a:ext cx="8276167"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7</xdr:col>
      <xdr:colOff>19049</xdr:colOff>
      <xdr:row>2</xdr:row>
      <xdr:rowOff>390525</xdr:rowOff>
    </xdr:to>
    <xdr:pic>
      <xdr:nvPicPr>
        <xdr:cNvPr id="2" name="Imagen 1">
          <a:extLst>
            <a:ext uri="{FF2B5EF4-FFF2-40B4-BE49-F238E27FC236}">
              <a16:creationId xmlns:a16="http://schemas.microsoft.com/office/drawing/2014/main" xmlns="" id="{CDC7B535-7E4D-4CFC-ABC8-E57413B508C3}"/>
            </a:ext>
          </a:extLst>
        </xdr:cNvPr>
        <xdr:cNvPicPr>
          <a:picLocks noChangeAspect="1"/>
        </xdr:cNvPicPr>
      </xdr:nvPicPr>
      <xdr:blipFill>
        <a:blip xmlns:r="http://schemas.openxmlformats.org/officeDocument/2006/relationships" r:embed="rId1"/>
        <a:stretch>
          <a:fillRect/>
        </a:stretch>
      </xdr:blipFill>
      <xdr:spPr>
        <a:xfrm>
          <a:off x="9525" y="0"/>
          <a:ext cx="7715249" cy="771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5</xdr:col>
      <xdr:colOff>1013732</xdr:colOff>
      <xdr:row>4</xdr:row>
      <xdr:rowOff>76200</xdr:rowOff>
    </xdr:to>
    <xdr:pic>
      <xdr:nvPicPr>
        <xdr:cNvPr id="2" name="Imagen 1">
          <a:extLst>
            <a:ext uri="{FF2B5EF4-FFF2-40B4-BE49-F238E27FC236}">
              <a16:creationId xmlns:a16="http://schemas.microsoft.com/office/drawing/2014/main" xmlns="" id="{5E30BBD5-F862-4845-B630-33B5CFBAF8B9}"/>
            </a:ext>
          </a:extLst>
        </xdr:cNvPr>
        <xdr:cNvPicPr>
          <a:picLocks noChangeAspect="1"/>
        </xdr:cNvPicPr>
      </xdr:nvPicPr>
      <xdr:blipFill>
        <a:blip xmlns:r="http://schemas.openxmlformats.org/officeDocument/2006/relationships" r:embed="rId1"/>
        <a:stretch>
          <a:fillRect/>
        </a:stretch>
      </xdr:blipFill>
      <xdr:spPr>
        <a:xfrm>
          <a:off x="38100" y="66675"/>
          <a:ext cx="7715249" cy="7715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542925</xdr:colOff>
      <xdr:row>5</xdr:row>
      <xdr:rowOff>0</xdr:rowOff>
    </xdr:to>
    <xdr:pic>
      <xdr:nvPicPr>
        <xdr:cNvPr id="6" name="Imagen 5">
          <a:extLst>
            <a:ext uri="{FF2B5EF4-FFF2-40B4-BE49-F238E27FC236}">
              <a16:creationId xmlns:a16="http://schemas.microsoft.com/office/drawing/2014/main" xmlns="" id="{59D31312-1ABC-48D8-B6D2-BDD1C86411B8}"/>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xdr:colOff>
      <xdr:row>33</xdr:row>
      <xdr:rowOff>171450</xdr:rowOff>
    </xdr:from>
    <xdr:to>
      <xdr:col>1</xdr:col>
      <xdr:colOff>1076325</xdr:colOff>
      <xdr:row>36</xdr:row>
      <xdr:rowOff>139400</xdr:rowOff>
    </xdr:to>
    <xdr:pic>
      <xdr:nvPicPr>
        <xdr:cNvPr id="2" name="Imagen 1">
          <a:extLst>
            <a:ext uri="{FF2B5EF4-FFF2-40B4-BE49-F238E27FC236}">
              <a16:creationId xmlns:a16="http://schemas.microsoft.com/office/drawing/2014/main" xmlns="" id="{CBEBD5AA-02A4-4938-9927-1AF6CC12856A}"/>
            </a:ext>
          </a:extLst>
        </xdr:cNvPr>
        <xdr:cNvPicPr>
          <a:picLocks noChangeAspect="1"/>
        </xdr:cNvPicPr>
      </xdr:nvPicPr>
      <xdr:blipFill>
        <a:blip xmlns:r="http://schemas.openxmlformats.org/officeDocument/2006/relationships" r:embed="rId1"/>
        <a:stretch>
          <a:fillRect/>
        </a:stretch>
      </xdr:blipFill>
      <xdr:spPr>
        <a:xfrm>
          <a:off x="1038225" y="7734300"/>
          <a:ext cx="1066800" cy="539450"/>
        </a:xfrm>
        <a:prstGeom prst="rect">
          <a:avLst/>
        </a:prstGeom>
      </xdr:spPr>
    </xdr:pic>
    <xdr:clientData/>
  </xdr:twoCellAnchor>
  <xdr:twoCellAnchor editAs="oneCell">
    <xdr:from>
      <xdr:col>0</xdr:col>
      <xdr:colOff>28575</xdr:colOff>
      <xdr:row>0</xdr:row>
      <xdr:rowOff>169835</xdr:rowOff>
    </xdr:from>
    <xdr:to>
      <xdr:col>7</xdr:col>
      <xdr:colOff>9525</xdr:colOff>
      <xdr:row>5</xdr:row>
      <xdr:rowOff>0</xdr:rowOff>
    </xdr:to>
    <xdr:pic>
      <xdr:nvPicPr>
        <xdr:cNvPr id="3" name="Imagen 2">
          <a:extLst>
            <a:ext uri="{FF2B5EF4-FFF2-40B4-BE49-F238E27FC236}">
              <a16:creationId xmlns:a16="http://schemas.microsoft.com/office/drawing/2014/main" xmlns="" id="{B5F19D9E-021F-494F-9E6D-A411A63002BD}"/>
            </a:ext>
          </a:extLst>
        </xdr:cNvPr>
        <xdr:cNvPicPr>
          <a:picLocks noChangeAspect="1"/>
        </xdr:cNvPicPr>
      </xdr:nvPicPr>
      <xdr:blipFill>
        <a:blip xmlns:r="http://schemas.openxmlformats.org/officeDocument/2006/relationships" r:embed="rId2"/>
        <a:stretch>
          <a:fillRect/>
        </a:stretch>
      </xdr:blipFill>
      <xdr:spPr>
        <a:xfrm>
          <a:off x="28575" y="169835"/>
          <a:ext cx="6486525" cy="7921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47626</xdr:rowOff>
    </xdr:from>
    <xdr:to>
      <xdr:col>6</xdr:col>
      <xdr:colOff>819150</xdr:colOff>
      <xdr:row>4</xdr:row>
      <xdr:rowOff>85726</xdr:rowOff>
    </xdr:to>
    <xdr:pic>
      <xdr:nvPicPr>
        <xdr:cNvPr id="3" name="Imagen 2">
          <a:extLst>
            <a:ext uri="{FF2B5EF4-FFF2-40B4-BE49-F238E27FC236}">
              <a16:creationId xmlns:a16="http://schemas.microsoft.com/office/drawing/2014/main" xmlns="" id="{77BB71CE-BAD5-4E5B-8C88-E841691B4D7D}"/>
            </a:ext>
          </a:extLst>
        </xdr:cNvPr>
        <xdr:cNvPicPr>
          <a:picLocks noChangeAspect="1"/>
        </xdr:cNvPicPr>
      </xdr:nvPicPr>
      <xdr:blipFill>
        <a:blip xmlns:r="http://schemas.openxmlformats.org/officeDocument/2006/relationships" r:embed="rId1"/>
        <a:stretch>
          <a:fillRect/>
        </a:stretch>
      </xdr:blipFill>
      <xdr:spPr>
        <a:xfrm>
          <a:off x="0" y="47626"/>
          <a:ext cx="6629400" cy="685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7</xdr:col>
      <xdr:colOff>9525</xdr:colOff>
      <xdr:row>5</xdr:row>
      <xdr:rowOff>0</xdr:rowOff>
    </xdr:to>
    <xdr:pic>
      <xdr:nvPicPr>
        <xdr:cNvPr id="3" name="Imagen 2">
          <a:extLst>
            <a:ext uri="{FF2B5EF4-FFF2-40B4-BE49-F238E27FC236}">
              <a16:creationId xmlns:a16="http://schemas.microsoft.com/office/drawing/2014/main" xmlns="" id="{7C31D115-682E-4BE2-A176-58187CB38B26}"/>
            </a:ext>
          </a:extLst>
        </xdr:cNvPr>
        <xdr:cNvPicPr>
          <a:picLocks noChangeAspect="1"/>
        </xdr:cNvPicPr>
      </xdr:nvPicPr>
      <xdr:blipFill>
        <a:blip xmlns:r="http://schemas.openxmlformats.org/officeDocument/2006/relationships" r:embed="rId1"/>
        <a:stretch>
          <a:fillRect/>
        </a:stretch>
      </xdr:blipFill>
      <xdr:spPr>
        <a:xfrm>
          <a:off x="0" y="66675"/>
          <a:ext cx="6657975" cy="895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371475</xdr:colOff>
      <xdr:row>5</xdr:row>
      <xdr:rowOff>0</xdr:rowOff>
    </xdr:to>
    <xdr:pic>
      <xdr:nvPicPr>
        <xdr:cNvPr id="3" name="Imagen 2">
          <a:extLst>
            <a:ext uri="{FF2B5EF4-FFF2-40B4-BE49-F238E27FC236}">
              <a16:creationId xmlns:a16="http://schemas.microsoft.com/office/drawing/2014/main" xmlns="" id="{FA8E6A65-06DC-4D11-AB68-94A2486E9704}"/>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809625</xdr:colOff>
      <xdr:row>5</xdr:row>
      <xdr:rowOff>0</xdr:rowOff>
    </xdr:to>
    <xdr:pic>
      <xdr:nvPicPr>
        <xdr:cNvPr id="3" name="Imagen 2">
          <a:extLst>
            <a:ext uri="{FF2B5EF4-FFF2-40B4-BE49-F238E27FC236}">
              <a16:creationId xmlns:a16="http://schemas.microsoft.com/office/drawing/2014/main" xmlns="" id="{4D636FF3-2D70-49F8-AF9A-6A0203B0D351}"/>
            </a:ext>
          </a:extLst>
        </xdr:cNvPr>
        <xdr:cNvPicPr>
          <a:picLocks noChangeAspect="1"/>
        </xdr:cNvPicPr>
      </xdr:nvPicPr>
      <xdr:blipFill>
        <a:blip xmlns:r="http://schemas.openxmlformats.org/officeDocument/2006/relationships" r:embed="rId1"/>
        <a:stretch>
          <a:fillRect/>
        </a:stretch>
      </xdr:blipFill>
      <xdr:spPr>
        <a:xfrm>
          <a:off x="0" y="169835"/>
          <a:ext cx="6619875" cy="79219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381000</xdr:colOff>
      <xdr:row>5</xdr:row>
      <xdr:rowOff>0</xdr:rowOff>
    </xdr:to>
    <xdr:pic>
      <xdr:nvPicPr>
        <xdr:cNvPr id="3" name="Imagen 2">
          <a:extLst>
            <a:ext uri="{FF2B5EF4-FFF2-40B4-BE49-F238E27FC236}">
              <a16:creationId xmlns:a16="http://schemas.microsoft.com/office/drawing/2014/main" xmlns="" id="{975AEAEA-FF87-4722-978A-6CD6C62FD914}"/>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381000</xdr:colOff>
      <xdr:row>5</xdr:row>
      <xdr:rowOff>0</xdr:rowOff>
    </xdr:to>
    <xdr:pic>
      <xdr:nvPicPr>
        <xdr:cNvPr id="3" name="Imagen 2">
          <a:extLst>
            <a:ext uri="{FF2B5EF4-FFF2-40B4-BE49-F238E27FC236}">
              <a16:creationId xmlns:a16="http://schemas.microsoft.com/office/drawing/2014/main" xmlns="" id="{92C9D3E3-F47A-46C3-9965-1E32E54848B0}"/>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209550</xdr:colOff>
      <xdr:row>5</xdr:row>
      <xdr:rowOff>0</xdr:rowOff>
    </xdr:to>
    <xdr:pic>
      <xdr:nvPicPr>
        <xdr:cNvPr id="3" name="Imagen 2">
          <a:extLst>
            <a:ext uri="{FF2B5EF4-FFF2-40B4-BE49-F238E27FC236}">
              <a16:creationId xmlns:a16="http://schemas.microsoft.com/office/drawing/2014/main" xmlns="" id="{9728351A-6A0B-4E45-BF63-8F1A28EA9D54}"/>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800100</xdr:colOff>
      <xdr:row>5</xdr:row>
      <xdr:rowOff>0</xdr:rowOff>
    </xdr:to>
    <xdr:pic>
      <xdr:nvPicPr>
        <xdr:cNvPr id="3" name="Imagen 2">
          <a:extLst>
            <a:ext uri="{FF2B5EF4-FFF2-40B4-BE49-F238E27FC236}">
              <a16:creationId xmlns:a16="http://schemas.microsoft.com/office/drawing/2014/main" xmlns="" id="{E8B34814-E706-451E-8E92-9CECD7B8103A}"/>
            </a:ext>
          </a:extLst>
        </xdr:cNvPr>
        <xdr:cNvPicPr>
          <a:picLocks noChangeAspect="1"/>
        </xdr:cNvPicPr>
      </xdr:nvPicPr>
      <xdr:blipFill>
        <a:blip xmlns:r="http://schemas.openxmlformats.org/officeDocument/2006/relationships" r:embed="rId1"/>
        <a:stretch>
          <a:fillRect/>
        </a:stretch>
      </xdr:blipFill>
      <xdr:spPr>
        <a:xfrm>
          <a:off x="0" y="169835"/>
          <a:ext cx="6772275" cy="79219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7</xdr:col>
      <xdr:colOff>0</xdr:colOff>
      <xdr:row>5</xdr:row>
      <xdr:rowOff>0</xdr:rowOff>
    </xdr:to>
    <xdr:pic>
      <xdr:nvPicPr>
        <xdr:cNvPr id="3" name="Imagen 2">
          <a:extLst>
            <a:ext uri="{FF2B5EF4-FFF2-40B4-BE49-F238E27FC236}">
              <a16:creationId xmlns:a16="http://schemas.microsoft.com/office/drawing/2014/main" xmlns="" id="{E2B86EC1-4359-48B4-BA64-93666555995E}"/>
            </a:ext>
          </a:extLst>
        </xdr:cNvPr>
        <xdr:cNvPicPr>
          <a:picLocks noChangeAspect="1"/>
        </xdr:cNvPicPr>
      </xdr:nvPicPr>
      <xdr:blipFill>
        <a:blip xmlns:r="http://schemas.openxmlformats.org/officeDocument/2006/relationships" r:embed="rId1"/>
        <a:stretch>
          <a:fillRect/>
        </a:stretch>
      </xdr:blipFill>
      <xdr:spPr>
        <a:xfrm>
          <a:off x="38100" y="66675"/>
          <a:ext cx="6772275" cy="895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6</xdr:col>
      <xdr:colOff>828675</xdr:colOff>
      <xdr:row>5</xdr:row>
      <xdr:rowOff>0</xdr:rowOff>
    </xdr:to>
    <xdr:pic>
      <xdr:nvPicPr>
        <xdr:cNvPr id="3" name="Imagen 2">
          <a:extLst>
            <a:ext uri="{FF2B5EF4-FFF2-40B4-BE49-F238E27FC236}">
              <a16:creationId xmlns:a16="http://schemas.microsoft.com/office/drawing/2014/main" xmlns="" id="{9DF4135A-5249-45FC-9AE5-1CD76C2F46AE}"/>
            </a:ext>
          </a:extLst>
        </xdr:cNvPr>
        <xdr:cNvPicPr>
          <a:picLocks noChangeAspect="1"/>
        </xdr:cNvPicPr>
      </xdr:nvPicPr>
      <xdr:blipFill>
        <a:blip xmlns:r="http://schemas.openxmlformats.org/officeDocument/2006/relationships" r:embed="rId1"/>
        <a:stretch>
          <a:fillRect/>
        </a:stretch>
      </xdr:blipFill>
      <xdr:spPr>
        <a:xfrm>
          <a:off x="0" y="47625"/>
          <a:ext cx="6800850" cy="9144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7</xdr:col>
      <xdr:colOff>9525</xdr:colOff>
      <xdr:row>5</xdr:row>
      <xdr:rowOff>19050</xdr:rowOff>
    </xdr:to>
    <xdr:pic>
      <xdr:nvPicPr>
        <xdr:cNvPr id="3" name="Imagen 2">
          <a:extLst>
            <a:ext uri="{FF2B5EF4-FFF2-40B4-BE49-F238E27FC236}">
              <a16:creationId xmlns:a16="http://schemas.microsoft.com/office/drawing/2014/main" xmlns="" id="{0D66DE05-A9DD-4CE2-9804-4557B300DCCA}"/>
            </a:ext>
          </a:extLst>
        </xdr:cNvPr>
        <xdr:cNvPicPr>
          <a:picLocks noChangeAspect="1"/>
        </xdr:cNvPicPr>
      </xdr:nvPicPr>
      <xdr:blipFill>
        <a:blip xmlns:r="http://schemas.openxmlformats.org/officeDocument/2006/relationships" r:embed="rId1"/>
        <a:stretch>
          <a:fillRect/>
        </a:stretch>
      </xdr:blipFill>
      <xdr:spPr>
        <a:xfrm>
          <a:off x="0" y="76200"/>
          <a:ext cx="6819900" cy="90487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7</xdr:col>
      <xdr:colOff>9525</xdr:colOff>
      <xdr:row>5</xdr:row>
      <xdr:rowOff>0</xdr:rowOff>
    </xdr:to>
    <xdr:pic>
      <xdr:nvPicPr>
        <xdr:cNvPr id="3" name="Imagen 2">
          <a:extLst>
            <a:ext uri="{FF2B5EF4-FFF2-40B4-BE49-F238E27FC236}">
              <a16:creationId xmlns:a16="http://schemas.microsoft.com/office/drawing/2014/main" xmlns="" id="{DF5F02FB-491D-4D72-AE84-CFE527812922}"/>
            </a:ext>
          </a:extLst>
        </xdr:cNvPr>
        <xdr:cNvPicPr>
          <a:picLocks noChangeAspect="1"/>
        </xdr:cNvPicPr>
      </xdr:nvPicPr>
      <xdr:blipFill>
        <a:blip xmlns:r="http://schemas.openxmlformats.org/officeDocument/2006/relationships" r:embed="rId1"/>
        <a:stretch>
          <a:fillRect/>
        </a:stretch>
      </xdr:blipFill>
      <xdr:spPr>
        <a:xfrm>
          <a:off x="0" y="76200"/>
          <a:ext cx="6819900" cy="88582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7</xdr:col>
      <xdr:colOff>9525</xdr:colOff>
      <xdr:row>5</xdr:row>
      <xdr:rowOff>0</xdr:rowOff>
    </xdr:to>
    <xdr:pic>
      <xdr:nvPicPr>
        <xdr:cNvPr id="3" name="Imagen 2">
          <a:extLst>
            <a:ext uri="{FF2B5EF4-FFF2-40B4-BE49-F238E27FC236}">
              <a16:creationId xmlns:a16="http://schemas.microsoft.com/office/drawing/2014/main" xmlns="" id="{C1B9C948-3C2E-4746-8976-CCE3CFA65A5A}"/>
            </a:ext>
          </a:extLst>
        </xdr:cNvPr>
        <xdr:cNvPicPr>
          <a:picLocks noChangeAspect="1"/>
        </xdr:cNvPicPr>
      </xdr:nvPicPr>
      <xdr:blipFill>
        <a:blip xmlns:r="http://schemas.openxmlformats.org/officeDocument/2006/relationships" r:embed="rId1"/>
        <a:stretch>
          <a:fillRect/>
        </a:stretch>
      </xdr:blipFill>
      <xdr:spPr>
        <a:xfrm>
          <a:off x="0" y="38100"/>
          <a:ext cx="6819900" cy="92392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28575</xdr:colOff>
      <xdr:row>0</xdr:row>
      <xdr:rowOff>47625</xdr:rowOff>
    </xdr:from>
    <xdr:to>
      <xdr:col>6</xdr:col>
      <xdr:colOff>828675</xdr:colOff>
      <xdr:row>5</xdr:row>
      <xdr:rowOff>0</xdr:rowOff>
    </xdr:to>
    <xdr:pic>
      <xdr:nvPicPr>
        <xdr:cNvPr id="3" name="Imagen 2">
          <a:extLst>
            <a:ext uri="{FF2B5EF4-FFF2-40B4-BE49-F238E27FC236}">
              <a16:creationId xmlns:a16="http://schemas.microsoft.com/office/drawing/2014/main" xmlns="" id="{2E741D8A-BC7A-4BE5-B4B9-2CE14DC61A4F}"/>
            </a:ext>
          </a:extLst>
        </xdr:cNvPr>
        <xdr:cNvPicPr>
          <a:picLocks noChangeAspect="1"/>
        </xdr:cNvPicPr>
      </xdr:nvPicPr>
      <xdr:blipFill>
        <a:blip xmlns:r="http://schemas.openxmlformats.org/officeDocument/2006/relationships" r:embed="rId1"/>
        <a:stretch>
          <a:fillRect/>
        </a:stretch>
      </xdr:blipFill>
      <xdr:spPr>
        <a:xfrm>
          <a:off x="28575" y="47625"/>
          <a:ext cx="6877050" cy="9144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85725</xdr:rowOff>
    </xdr:from>
    <xdr:to>
      <xdr:col>6</xdr:col>
      <xdr:colOff>828675</xdr:colOff>
      <xdr:row>5</xdr:row>
      <xdr:rowOff>0</xdr:rowOff>
    </xdr:to>
    <xdr:pic>
      <xdr:nvPicPr>
        <xdr:cNvPr id="3" name="Imagen 2">
          <a:extLst>
            <a:ext uri="{FF2B5EF4-FFF2-40B4-BE49-F238E27FC236}">
              <a16:creationId xmlns:a16="http://schemas.microsoft.com/office/drawing/2014/main" xmlns="" id="{8633FC29-C0CE-4217-8DA8-A8B0EF91424E}"/>
            </a:ext>
          </a:extLst>
        </xdr:cNvPr>
        <xdr:cNvPicPr>
          <a:picLocks noChangeAspect="1"/>
        </xdr:cNvPicPr>
      </xdr:nvPicPr>
      <xdr:blipFill>
        <a:blip xmlns:r="http://schemas.openxmlformats.org/officeDocument/2006/relationships" r:embed="rId1"/>
        <a:stretch>
          <a:fillRect/>
        </a:stretch>
      </xdr:blipFill>
      <xdr:spPr>
        <a:xfrm>
          <a:off x="0" y="85725"/>
          <a:ext cx="6905625" cy="8763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38100</xdr:colOff>
      <xdr:row>0</xdr:row>
      <xdr:rowOff>57150</xdr:rowOff>
    </xdr:from>
    <xdr:to>
      <xdr:col>7</xdr:col>
      <xdr:colOff>0</xdr:colOff>
      <xdr:row>5</xdr:row>
      <xdr:rowOff>0</xdr:rowOff>
    </xdr:to>
    <xdr:pic>
      <xdr:nvPicPr>
        <xdr:cNvPr id="3" name="Imagen 2">
          <a:extLst>
            <a:ext uri="{FF2B5EF4-FFF2-40B4-BE49-F238E27FC236}">
              <a16:creationId xmlns:a16="http://schemas.microsoft.com/office/drawing/2014/main" xmlns="" id="{C7251ACB-810E-48F3-88D0-21647D830CF5}"/>
            </a:ext>
          </a:extLst>
        </xdr:cNvPr>
        <xdr:cNvPicPr>
          <a:picLocks noChangeAspect="1"/>
        </xdr:cNvPicPr>
      </xdr:nvPicPr>
      <xdr:blipFill>
        <a:blip xmlns:r="http://schemas.openxmlformats.org/officeDocument/2006/relationships" r:embed="rId1"/>
        <a:stretch>
          <a:fillRect/>
        </a:stretch>
      </xdr:blipFill>
      <xdr:spPr>
        <a:xfrm>
          <a:off x="38100" y="57150"/>
          <a:ext cx="6877050" cy="90487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6</xdr:col>
      <xdr:colOff>104775</xdr:colOff>
      <xdr:row>5</xdr:row>
      <xdr:rowOff>0</xdr:rowOff>
    </xdr:to>
    <xdr:pic>
      <xdr:nvPicPr>
        <xdr:cNvPr id="3" name="Imagen 2">
          <a:extLst>
            <a:ext uri="{FF2B5EF4-FFF2-40B4-BE49-F238E27FC236}">
              <a16:creationId xmlns:a16="http://schemas.microsoft.com/office/drawing/2014/main" xmlns="" id="{ACE8AB8A-BD6D-4C75-8AAC-EB1DBD6F3240}"/>
            </a:ext>
          </a:extLst>
        </xdr:cNvPr>
        <xdr:cNvPicPr>
          <a:picLocks noChangeAspect="1"/>
        </xdr:cNvPicPr>
      </xdr:nvPicPr>
      <xdr:blipFill>
        <a:blip xmlns:r="http://schemas.openxmlformats.org/officeDocument/2006/relationships" r:embed="rId1"/>
        <a:stretch>
          <a:fillRect/>
        </a:stretch>
      </xdr:blipFill>
      <xdr:spPr>
        <a:xfrm>
          <a:off x="0" y="169835"/>
          <a:ext cx="6181725" cy="79219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6</xdr:col>
      <xdr:colOff>819150</xdr:colOff>
      <xdr:row>5</xdr:row>
      <xdr:rowOff>0</xdr:rowOff>
    </xdr:to>
    <xdr:pic>
      <xdr:nvPicPr>
        <xdr:cNvPr id="3" name="Imagen 2">
          <a:extLst>
            <a:ext uri="{FF2B5EF4-FFF2-40B4-BE49-F238E27FC236}">
              <a16:creationId xmlns:a16="http://schemas.microsoft.com/office/drawing/2014/main" xmlns="" id="{6051F362-5ACA-45F3-A673-6B6F0809DD18}"/>
            </a:ext>
          </a:extLst>
        </xdr:cNvPr>
        <xdr:cNvPicPr>
          <a:picLocks noChangeAspect="1"/>
        </xdr:cNvPicPr>
      </xdr:nvPicPr>
      <xdr:blipFill>
        <a:blip xmlns:r="http://schemas.openxmlformats.org/officeDocument/2006/relationships" r:embed="rId1"/>
        <a:stretch>
          <a:fillRect/>
        </a:stretch>
      </xdr:blipFill>
      <xdr:spPr>
        <a:xfrm>
          <a:off x="0" y="38100"/>
          <a:ext cx="6896100" cy="92392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5</xdr:row>
      <xdr:rowOff>0</xdr:rowOff>
    </xdr:to>
    <xdr:pic>
      <xdr:nvPicPr>
        <xdr:cNvPr id="3" name="Imagen 2">
          <a:extLst>
            <a:ext uri="{FF2B5EF4-FFF2-40B4-BE49-F238E27FC236}">
              <a16:creationId xmlns:a16="http://schemas.microsoft.com/office/drawing/2014/main" xmlns="" id="{B6536B23-E5CD-4684-B393-4851E82C69D9}"/>
            </a:ext>
          </a:extLst>
        </xdr:cNvPr>
        <xdr:cNvPicPr>
          <a:picLocks noChangeAspect="1"/>
        </xdr:cNvPicPr>
      </xdr:nvPicPr>
      <xdr:blipFill>
        <a:blip xmlns:r="http://schemas.openxmlformats.org/officeDocument/2006/relationships" r:embed="rId1"/>
        <a:stretch>
          <a:fillRect/>
        </a:stretch>
      </xdr:blipFill>
      <xdr:spPr>
        <a:xfrm>
          <a:off x="0" y="0"/>
          <a:ext cx="6915150" cy="96202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28575</xdr:colOff>
      <xdr:row>0</xdr:row>
      <xdr:rowOff>76200</xdr:rowOff>
    </xdr:from>
    <xdr:to>
      <xdr:col>7</xdr:col>
      <xdr:colOff>0</xdr:colOff>
      <xdr:row>5</xdr:row>
      <xdr:rowOff>0</xdr:rowOff>
    </xdr:to>
    <xdr:pic>
      <xdr:nvPicPr>
        <xdr:cNvPr id="3" name="Imagen 2">
          <a:extLst>
            <a:ext uri="{FF2B5EF4-FFF2-40B4-BE49-F238E27FC236}">
              <a16:creationId xmlns:a16="http://schemas.microsoft.com/office/drawing/2014/main" xmlns="" id="{BF203627-A5B4-4ECD-AD55-8D39D7147F9D}"/>
            </a:ext>
          </a:extLst>
        </xdr:cNvPr>
        <xdr:cNvPicPr>
          <a:picLocks noChangeAspect="1"/>
        </xdr:cNvPicPr>
      </xdr:nvPicPr>
      <xdr:blipFill>
        <a:blip xmlns:r="http://schemas.openxmlformats.org/officeDocument/2006/relationships" r:embed="rId1"/>
        <a:stretch>
          <a:fillRect/>
        </a:stretch>
      </xdr:blipFill>
      <xdr:spPr>
        <a:xfrm>
          <a:off x="28575" y="76200"/>
          <a:ext cx="6981825" cy="88582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7</xdr:col>
      <xdr:colOff>0</xdr:colOff>
      <xdr:row>4</xdr:row>
      <xdr:rowOff>171450</xdr:rowOff>
    </xdr:to>
    <xdr:pic>
      <xdr:nvPicPr>
        <xdr:cNvPr id="3" name="Imagen 2">
          <a:extLst>
            <a:ext uri="{FF2B5EF4-FFF2-40B4-BE49-F238E27FC236}">
              <a16:creationId xmlns:a16="http://schemas.microsoft.com/office/drawing/2014/main" xmlns="" id="{273AAD0F-37B4-42A5-A5CC-1B1293AD5E3D}"/>
            </a:ext>
          </a:extLst>
        </xdr:cNvPr>
        <xdr:cNvPicPr>
          <a:picLocks noChangeAspect="1"/>
        </xdr:cNvPicPr>
      </xdr:nvPicPr>
      <xdr:blipFill>
        <a:blip xmlns:r="http://schemas.openxmlformats.org/officeDocument/2006/relationships" r:embed="rId1"/>
        <a:stretch>
          <a:fillRect/>
        </a:stretch>
      </xdr:blipFill>
      <xdr:spPr>
        <a:xfrm>
          <a:off x="0" y="66675"/>
          <a:ext cx="7010400" cy="86677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6</xdr:col>
      <xdr:colOff>828675</xdr:colOff>
      <xdr:row>5</xdr:row>
      <xdr:rowOff>0</xdr:rowOff>
    </xdr:to>
    <xdr:pic>
      <xdr:nvPicPr>
        <xdr:cNvPr id="3" name="Imagen 2">
          <a:extLst>
            <a:ext uri="{FF2B5EF4-FFF2-40B4-BE49-F238E27FC236}">
              <a16:creationId xmlns:a16="http://schemas.microsoft.com/office/drawing/2014/main" xmlns="" id="{7A894FD1-99D3-4780-BBAC-FB5F816E7512}"/>
            </a:ext>
          </a:extLst>
        </xdr:cNvPr>
        <xdr:cNvPicPr>
          <a:picLocks noChangeAspect="1"/>
        </xdr:cNvPicPr>
      </xdr:nvPicPr>
      <xdr:blipFill>
        <a:blip xmlns:r="http://schemas.openxmlformats.org/officeDocument/2006/relationships" r:embed="rId1"/>
        <a:stretch>
          <a:fillRect/>
        </a:stretch>
      </xdr:blipFill>
      <xdr:spPr>
        <a:xfrm>
          <a:off x="0" y="38100"/>
          <a:ext cx="7000875" cy="92392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6</xdr:col>
      <xdr:colOff>828675</xdr:colOff>
      <xdr:row>5</xdr:row>
      <xdr:rowOff>0</xdr:rowOff>
    </xdr:to>
    <xdr:pic>
      <xdr:nvPicPr>
        <xdr:cNvPr id="3" name="Imagen 2">
          <a:extLst>
            <a:ext uri="{FF2B5EF4-FFF2-40B4-BE49-F238E27FC236}">
              <a16:creationId xmlns:a16="http://schemas.microsoft.com/office/drawing/2014/main" xmlns="" id="{4CC05863-85F6-4C6C-A951-3F56581EB959}"/>
            </a:ext>
          </a:extLst>
        </xdr:cNvPr>
        <xdr:cNvPicPr>
          <a:picLocks noChangeAspect="1"/>
        </xdr:cNvPicPr>
      </xdr:nvPicPr>
      <xdr:blipFill>
        <a:blip xmlns:r="http://schemas.openxmlformats.org/officeDocument/2006/relationships" r:embed="rId1"/>
        <a:stretch>
          <a:fillRect/>
        </a:stretch>
      </xdr:blipFill>
      <xdr:spPr>
        <a:xfrm>
          <a:off x="0" y="28575"/>
          <a:ext cx="7000875" cy="93345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7</xdr:col>
      <xdr:colOff>0</xdr:colOff>
      <xdr:row>5</xdr:row>
      <xdr:rowOff>0</xdr:rowOff>
    </xdr:to>
    <xdr:pic>
      <xdr:nvPicPr>
        <xdr:cNvPr id="3" name="Imagen 2">
          <a:extLst>
            <a:ext uri="{FF2B5EF4-FFF2-40B4-BE49-F238E27FC236}">
              <a16:creationId xmlns:a16="http://schemas.microsoft.com/office/drawing/2014/main" xmlns="" id="{F2C8F97B-DC35-4D30-9203-FB4FD7984B83}"/>
            </a:ext>
          </a:extLst>
        </xdr:cNvPr>
        <xdr:cNvPicPr>
          <a:picLocks noChangeAspect="1"/>
        </xdr:cNvPicPr>
      </xdr:nvPicPr>
      <xdr:blipFill>
        <a:blip xmlns:r="http://schemas.openxmlformats.org/officeDocument/2006/relationships" r:embed="rId1"/>
        <a:stretch>
          <a:fillRect/>
        </a:stretch>
      </xdr:blipFill>
      <xdr:spPr>
        <a:xfrm>
          <a:off x="0" y="57150"/>
          <a:ext cx="7010400" cy="90487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7</xdr:col>
      <xdr:colOff>38100</xdr:colOff>
      <xdr:row>5</xdr:row>
      <xdr:rowOff>0</xdr:rowOff>
    </xdr:to>
    <xdr:pic>
      <xdr:nvPicPr>
        <xdr:cNvPr id="3" name="Imagen 2">
          <a:extLst>
            <a:ext uri="{FF2B5EF4-FFF2-40B4-BE49-F238E27FC236}">
              <a16:creationId xmlns:a16="http://schemas.microsoft.com/office/drawing/2014/main" xmlns="" id="{01B6A8FD-FF36-42E3-9B4E-C0368376905D}"/>
            </a:ext>
          </a:extLst>
        </xdr:cNvPr>
        <xdr:cNvPicPr>
          <a:picLocks noChangeAspect="1"/>
        </xdr:cNvPicPr>
      </xdr:nvPicPr>
      <xdr:blipFill>
        <a:blip xmlns:r="http://schemas.openxmlformats.org/officeDocument/2006/relationships" r:embed="rId1"/>
        <a:stretch>
          <a:fillRect/>
        </a:stretch>
      </xdr:blipFill>
      <xdr:spPr>
        <a:xfrm>
          <a:off x="0" y="9525"/>
          <a:ext cx="7048500" cy="95250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85725</xdr:rowOff>
    </xdr:from>
    <xdr:to>
      <xdr:col>7</xdr:col>
      <xdr:colOff>9525</xdr:colOff>
      <xdr:row>5</xdr:row>
      <xdr:rowOff>0</xdr:rowOff>
    </xdr:to>
    <xdr:pic>
      <xdr:nvPicPr>
        <xdr:cNvPr id="3" name="Imagen 2">
          <a:extLst>
            <a:ext uri="{FF2B5EF4-FFF2-40B4-BE49-F238E27FC236}">
              <a16:creationId xmlns:a16="http://schemas.microsoft.com/office/drawing/2014/main" xmlns="" id="{8767A642-E172-4812-8ABE-7B80BFF7E123}"/>
            </a:ext>
          </a:extLst>
        </xdr:cNvPr>
        <xdr:cNvPicPr>
          <a:picLocks noChangeAspect="1"/>
        </xdr:cNvPicPr>
      </xdr:nvPicPr>
      <xdr:blipFill>
        <a:blip xmlns:r="http://schemas.openxmlformats.org/officeDocument/2006/relationships" r:embed="rId1"/>
        <a:stretch>
          <a:fillRect/>
        </a:stretch>
      </xdr:blipFill>
      <xdr:spPr>
        <a:xfrm>
          <a:off x="0" y="85725"/>
          <a:ext cx="7019925" cy="87630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7</xdr:col>
      <xdr:colOff>9525</xdr:colOff>
      <xdr:row>5</xdr:row>
      <xdr:rowOff>0</xdr:rowOff>
    </xdr:to>
    <xdr:pic>
      <xdr:nvPicPr>
        <xdr:cNvPr id="3" name="Imagen 2">
          <a:extLst>
            <a:ext uri="{FF2B5EF4-FFF2-40B4-BE49-F238E27FC236}">
              <a16:creationId xmlns:a16="http://schemas.microsoft.com/office/drawing/2014/main" xmlns="" id="{3E63810C-209A-4EA9-BF80-BA785A9ABFF5}"/>
            </a:ext>
          </a:extLst>
        </xdr:cNvPr>
        <xdr:cNvPicPr>
          <a:picLocks noChangeAspect="1"/>
        </xdr:cNvPicPr>
      </xdr:nvPicPr>
      <xdr:blipFill>
        <a:blip xmlns:r="http://schemas.openxmlformats.org/officeDocument/2006/relationships" r:embed="rId1"/>
        <a:stretch>
          <a:fillRect/>
        </a:stretch>
      </xdr:blipFill>
      <xdr:spPr>
        <a:xfrm>
          <a:off x="0" y="28575"/>
          <a:ext cx="6905625" cy="93345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7</xdr:col>
      <xdr:colOff>9525</xdr:colOff>
      <xdr:row>5</xdr:row>
      <xdr:rowOff>0</xdr:rowOff>
    </xdr:to>
    <xdr:pic>
      <xdr:nvPicPr>
        <xdr:cNvPr id="3" name="Imagen 2">
          <a:extLst>
            <a:ext uri="{FF2B5EF4-FFF2-40B4-BE49-F238E27FC236}">
              <a16:creationId xmlns:a16="http://schemas.microsoft.com/office/drawing/2014/main" xmlns="" id="{469D060A-F4DA-4AD8-8A49-054018F544F2}"/>
            </a:ext>
          </a:extLst>
        </xdr:cNvPr>
        <xdr:cNvPicPr>
          <a:picLocks noChangeAspect="1"/>
        </xdr:cNvPicPr>
      </xdr:nvPicPr>
      <xdr:blipFill>
        <a:blip xmlns:r="http://schemas.openxmlformats.org/officeDocument/2006/relationships" r:embed="rId1"/>
        <a:stretch>
          <a:fillRect/>
        </a:stretch>
      </xdr:blipFill>
      <xdr:spPr>
        <a:xfrm>
          <a:off x="0" y="66675"/>
          <a:ext cx="6905625" cy="89535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7</xdr:col>
      <xdr:colOff>19050</xdr:colOff>
      <xdr:row>5</xdr:row>
      <xdr:rowOff>0</xdr:rowOff>
    </xdr:to>
    <xdr:pic>
      <xdr:nvPicPr>
        <xdr:cNvPr id="3" name="Imagen 2">
          <a:extLst>
            <a:ext uri="{FF2B5EF4-FFF2-40B4-BE49-F238E27FC236}">
              <a16:creationId xmlns:a16="http://schemas.microsoft.com/office/drawing/2014/main" xmlns="" id="{83E13DF2-6CFD-430A-ACCA-9EA631A5A1AD}"/>
            </a:ext>
          </a:extLst>
        </xdr:cNvPr>
        <xdr:cNvPicPr>
          <a:picLocks noChangeAspect="1"/>
        </xdr:cNvPicPr>
      </xdr:nvPicPr>
      <xdr:blipFill>
        <a:blip xmlns:r="http://schemas.openxmlformats.org/officeDocument/2006/relationships" r:embed="rId1"/>
        <a:stretch>
          <a:fillRect/>
        </a:stretch>
      </xdr:blipFill>
      <xdr:spPr>
        <a:xfrm>
          <a:off x="0" y="47625"/>
          <a:ext cx="6915150" cy="91440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7</xdr:col>
      <xdr:colOff>38100</xdr:colOff>
      <xdr:row>5</xdr:row>
      <xdr:rowOff>0</xdr:rowOff>
    </xdr:to>
    <xdr:pic>
      <xdr:nvPicPr>
        <xdr:cNvPr id="3" name="Imagen 2">
          <a:extLst>
            <a:ext uri="{FF2B5EF4-FFF2-40B4-BE49-F238E27FC236}">
              <a16:creationId xmlns:a16="http://schemas.microsoft.com/office/drawing/2014/main" xmlns="" id="{F325961B-B256-42BC-9B12-FE11D063FC8A}"/>
            </a:ext>
          </a:extLst>
        </xdr:cNvPr>
        <xdr:cNvPicPr>
          <a:picLocks noChangeAspect="1"/>
        </xdr:cNvPicPr>
      </xdr:nvPicPr>
      <xdr:blipFill>
        <a:blip xmlns:r="http://schemas.openxmlformats.org/officeDocument/2006/relationships" r:embed="rId1"/>
        <a:stretch>
          <a:fillRect/>
        </a:stretch>
      </xdr:blipFill>
      <xdr:spPr>
        <a:xfrm>
          <a:off x="0" y="169835"/>
          <a:ext cx="6934200" cy="792190"/>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7</xdr:col>
      <xdr:colOff>38100</xdr:colOff>
      <xdr:row>5</xdr:row>
      <xdr:rowOff>0</xdr:rowOff>
    </xdr:to>
    <xdr:pic>
      <xdr:nvPicPr>
        <xdr:cNvPr id="3" name="Imagen 2">
          <a:extLst>
            <a:ext uri="{FF2B5EF4-FFF2-40B4-BE49-F238E27FC236}">
              <a16:creationId xmlns:a16="http://schemas.microsoft.com/office/drawing/2014/main" xmlns="" id="{B23BFDB8-3013-40C5-9503-FB913639BB3F}"/>
            </a:ext>
          </a:extLst>
        </xdr:cNvPr>
        <xdr:cNvPicPr>
          <a:picLocks noChangeAspect="1"/>
        </xdr:cNvPicPr>
      </xdr:nvPicPr>
      <xdr:blipFill>
        <a:blip xmlns:r="http://schemas.openxmlformats.org/officeDocument/2006/relationships" r:embed="rId1"/>
        <a:stretch>
          <a:fillRect/>
        </a:stretch>
      </xdr:blipFill>
      <xdr:spPr>
        <a:xfrm>
          <a:off x="0" y="169835"/>
          <a:ext cx="6934200" cy="792190"/>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7</xdr:col>
      <xdr:colOff>38100</xdr:colOff>
      <xdr:row>5</xdr:row>
      <xdr:rowOff>0</xdr:rowOff>
    </xdr:to>
    <xdr:pic>
      <xdr:nvPicPr>
        <xdr:cNvPr id="3" name="Imagen 2">
          <a:extLst>
            <a:ext uri="{FF2B5EF4-FFF2-40B4-BE49-F238E27FC236}">
              <a16:creationId xmlns:a16="http://schemas.microsoft.com/office/drawing/2014/main" xmlns="" id="{9CD6665B-77C3-4FF5-85C5-C607388480FD}"/>
            </a:ext>
          </a:extLst>
        </xdr:cNvPr>
        <xdr:cNvPicPr>
          <a:picLocks noChangeAspect="1"/>
        </xdr:cNvPicPr>
      </xdr:nvPicPr>
      <xdr:blipFill>
        <a:blip xmlns:r="http://schemas.openxmlformats.org/officeDocument/2006/relationships" r:embed="rId1"/>
        <a:stretch>
          <a:fillRect/>
        </a:stretch>
      </xdr:blipFill>
      <xdr:spPr>
        <a:xfrm>
          <a:off x="0" y="169835"/>
          <a:ext cx="6934200" cy="792190"/>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7</xdr:col>
      <xdr:colOff>38100</xdr:colOff>
      <xdr:row>5</xdr:row>
      <xdr:rowOff>0</xdr:rowOff>
    </xdr:to>
    <xdr:pic>
      <xdr:nvPicPr>
        <xdr:cNvPr id="3" name="Imagen 2">
          <a:extLst>
            <a:ext uri="{FF2B5EF4-FFF2-40B4-BE49-F238E27FC236}">
              <a16:creationId xmlns:a16="http://schemas.microsoft.com/office/drawing/2014/main" xmlns="" id="{5311AA26-3705-4712-928C-C53327FC0D09}"/>
            </a:ext>
          </a:extLst>
        </xdr:cNvPr>
        <xdr:cNvPicPr>
          <a:picLocks noChangeAspect="1"/>
        </xdr:cNvPicPr>
      </xdr:nvPicPr>
      <xdr:blipFill>
        <a:blip xmlns:r="http://schemas.openxmlformats.org/officeDocument/2006/relationships" r:embed="rId1"/>
        <a:stretch>
          <a:fillRect/>
        </a:stretch>
      </xdr:blipFill>
      <xdr:spPr>
        <a:xfrm>
          <a:off x="0" y="169835"/>
          <a:ext cx="6934200" cy="792190"/>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169835</xdr:rowOff>
    </xdr:from>
    <xdr:to>
      <xdr:col>7</xdr:col>
      <xdr:colOff>38100</xdr:colOff>
      <xdr:row>5</xdr:row>
      <xdr:rowOff>0</xdr:rowOff>
    </xdr:to>
    <xdr:pic>
      <xdr:nvPicPr>
        <xdr:cNvPr id="3" name="Imagen 2">
          <a:extLst>
            <a:ext uri="{FF2B5EF4-FFF2-40B4-BE49-F238E27FC236}">
              <a16:creationId xmlns:a16="http://schemas.microsoft.com/office/drawing/2014/main" xmlns="" id="{842C0B56-A79F-471C-8518-D9794301A438}"/>
            </a:ext>
          </a:extLst>
        </xdr:cNvPr>
        <xdr:cNvPicPr>
          <a:picLocks noChangeAspect="1"/>
        </xdr:cNvPicPr>
      </xdr:nvPicPr>
      <xdr:blipFill>
        <a:blip xmlns:r="http://schemas.openxmlformats.org/officeDocument/2006/relationships" r:embed="rId1"/>
        <a:stretch>
          <a:fillRect/>
        </a:stretch>
      </xdr:blipFill>
      <xdr:spPr>
        <a:xfrm>
          <a:off x="0" y="169835"/>
          <a:ext cx="6934200" cy="7921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tabSelected="1" view="pageBreakPreview" zoomScale="75" zoomScaleNormal="75" zoomScaleSheetLayoutView="75" workbookViewId="0">
      <selection activeCell="G59" sqref="G59"/>
    </sheetView>
  </sheetViews>
  <sheetFormatPr baseColWidth="10" defaultRowHeight="15" x14ac:dyDescent="0.25"/>
  <cols>
    <col min="1" max="1" width="8.140625" bestFit="1" customWidth="1"/>
    <col min="2" max="2" width="73.5703125" customWidth="1"/>
    <col min="3" max="3" width="7.42578125" bestFit="1" customWidth="1"/>
    <col min="4" max="4" width="8.85546875" bestFit="1" customWidth="1"/>
    <col min="5" max="5" width="13.140625" bestFit="1" customWidth="1"/>
    <col min="6" max="6" width="16.85546875" bestFit="1" customWidth="1"/>
    <col min="7" max="7" width="47.140625" customWidth="1"/>
    <col min="8" max="8" width="18.5703125" customWidth="1"/>
    <col min="9" max="9" width="16.140625" bestFit="1" customWidth="1"/>
  </cols>
  <sheetData>
    <row r="1" spans="1:6" ht="76.900000000000006" customHeight="1" thickBot="1" x14ac:dyDescent="0.3">
      <c r="A1" s="182"/>
      <c r="B1" s="183"/>
      <c r="C1" s="183"/>
      <c r="D1" s="183"/>
      <c r="E1" s="183"/>
      <c r="F1" s="184"/>
    </row>
    <row r="2" spans="1:6" ht="48" customHeight="1" thickBot="1" x14ac:dyDescent="0.3">
      <c r="A2" s="185" t="s">
        <v>122</v>
      </c>
      <c r="B2" s="186"/>
      <c r="C2" s="186"/>
      <c r="D2" s="186"/>
      <c r="E2" s="186"/>
      <c r="F2" s="187"/>
    </row>
    <row r="3" spans="1:6" ht="15.75" thickBot="1" x14ac:dyDescent="0.3">
      <c r="A3" s="3" t="s">
        <v>0</v>
      </c>
      <c r="B3" s="4" t="s">
        <v>1</v>
      </c>
      <c r="C3" s="1" t="s">
        <v>2</v>
      </c>
      <c r="D3" s="1" t="s">
        <v>3</v>
      </c>
      <c r="E3" s="1" t="s">
        <v>4</v>
      </c>
      <c r="F3" s="2" t="s">
        <v>5</v>
      </c>
    </row>
    <row r="4" spans="1:6" x14ac:dyDescent="0.25">
      <c r="A4" s="3">
        <v>1</v>
      </c>
      <c r="B4" s="4" t="s">
        <v>123</v>
      </c>
      <c r="C4" s="1"/>
      <c r="D4" s="1"/>
      <c r="E4" s="1"/>
      <c r="F4" s="2"/>
    </row>
    <row r="5" spans="1:6" ht="57.75" customHeight="1" thickBot="1" x14ac:dyDescent="0.3">
      <c r="A5" s="5" t="s">
        <v>6</v>
      </c>
      <c r="B5" s="6" t="s">
        <v>124</v>
      </c>
      <c r="C5" s="7" t="s">
        <v>19</v>
      </c>
      <c r="D5" s="8">
        <v>143</v>
      </c>
      <c r="E5" s="9">
        <v>24140</v>
      </c>
      <c r="F5" s="10">
        <f>+E5*D5</f>
        <v>3452020</v>
      </c>
    </row>
    <row r="6" spans="1:6" x14ac:dyDescent="0.25">
      <c r="A6" s="3">
        <v>2</v>
      </c>
      <c r="B6" s="4" t="s">
        <v>125</v>
      </c>
      <c r="C6" s="1"/>
      <c r="D6" s="1"/>
      <c r="E6" s="1"/>
      <c r="F6" s="2"/>
    </row>
    <row r="7" spans="1:6" ht="63.75" x14ac:dyDescent="0.25">
      <c r="A7" s="5" t="s">
        <v>10</v>
      </c>
      <c r="B7" s="6" t="s">
        <v>126</v>
      </c>
      <c r="C7" s="7" t="s">
        <v>11</v>
      </c>
      <c r="D7" s="8">
        <v>168.44</v>
      </c>
      <c r="E7" s="9">
        <v>28410</v>
      </c>
      <c r="F7" s="10">
        <f t="shared" ref="F7:F11" si="0">+E7*D7</f>
        <v>4785380.4000000004</v>
      </c>
    </row>
    <row r="8" spans="1:6" ht="25.5" x14ac:dyDescent="0.25">
      <c r="A8" s="5" t="s">
        <v>12</v>
      </c>
      <c r="B8" s="6" t="s">
        <v>127</v>
      </c>
      <c r="C8" s="7" t="s">
        <v>11</v>
      </c>
      <c r="D8" s="8">
        <v>12.6</v>
      </c>
      <c r="E8" s="9">
        <v>50355</v>
      </c>
      <c r="F8" s="10">
        <f t="shared" si="0"/>
        <v>634473</v>
      </c>
    </row>
    <row r="9" spans="1:6" ht="25.5" x14ac:dyDescent="0.25">
      <c r="A9" s="5" t="s">
        <v>13</v>
      </c>
      <c r="B9" s="6" t="s">
        <v>130</v>
      </c>
      <c r="C9" s="7" t="s">
        <v>11</v>
      </c>
      <c r="D9" s="8">
        <v>387.43</v>
      </c>
      <c r="E9" s="9">
        <v>41643</v>
      </c>
      <c r="F9" s="10">
        <f t="shared" si="0"/>
        <v>16133747.49</v>
      </c>
    </row>
    <row r="10" spans="1:6" ht="51" x14ac:dyDescent="0.25">
      <c r="A10" s="5" t="s">
        <v>128</v>
      </c>
      <c r="B10" s="6" t="s">
        <v>131</v>
      </c>
      <c r="C10" s="7" t="s">
        <v>2</v>
      </c>
      <c r="D10" s="8">
        <v>6</v>
      </c>
      <c r="E10" s="9">
        <v>53288</v>
      </c>
      <c r="F10" s="10">
        <f t="shared" si="0"/>
        <v>319728</v>
      </c>
    </row>
    <row r="11" spans="1:6" ht="26.25" thickBot="1" x14ac:dyDescent="0.3">
      <c r="A11" s="5" t="s">
        <v>129</v>
      </c>
      <c r="B11" s="6" t="s">
        <v>132</v>
      </c>
      <c r="C11" s="7" t="s">
        <v>2</v>
      </c>
      <c r="D11" s="8">
        <v>16</v>
      </c>
      <c r="E11" s="9">
        <v>66582</v>
      </c>
      <c r="F11" s="10">
        <f t="shared" si="0"/>
        <v>1065312</v>
      </c>
    </row>
    <row r="12" spans="1:6" x14ac:dyDescent="0.25">
      <c r="A12" s="3">
        <v>3</v>
      </c>
      <c r="B12" s="4" t="s">
        <v>133</v>
      </c>
      <c r="C12" s="1"/>
      <c r="D12" s="1"/>
      <c r="E12" s="1"/>
      <c r="F12" s="2"/>
    </row>
    <row r="13" spans="1:6" ht="76.5" x14ac:dyDescent="0.25">
      <c r="A13" s="59" t="s">
        <v>14</v>
      </c>
      <c r="B13" s="6" t="s">
        <v>134</v>
      </c>
      <c r="C13" s="58" t="s">
        <v>11</v>
      </c>
      <c r="D13" s="58">
        <v>228.89993731427367</v>
      </c>
      <c r="E13" s="9">
        <v>617844</v>
      </c>
      <c r="F13" s="10">
        <f t="shared" ref="F13:F15" si="1">+E13*D13</f>
        <v>141424452.87000009</v>
      </c>
    </row>
    <row r="14" spans="1:6" ht="51" x14ac:dyDescent="0.25">
      <c r="A14" s="59" t="s">
        <v>136</v>
      </c>
      <c r="B14" s="6" t="s">
        <v>135</v>
      </c>
      <c r="C14" s="58" t="s">
        <v>19</v>
      </c>
      <c r="D14" s="58">
        <v>206.86</v>
      </c>
      <c r="E14" s="9">
        <v>98610</v>
      </c>
      <c r="F14" s="10">
        <f t="shared" si="1"/>
        <v>20398464.600000001</v>
      </c>
    </row>
    <row r="15" spans="1:6" ht="51.75" thickBot="1" x14ac:dyDescent="0.3">
      <c r="A15" s="59" t="s">
        <v>138</v>
      </c>
      <c r="B15" s="6" t="s">
        <v>137</v>
      </c>
      <c r="C15" s="58" t="s">
        <v>19</v>
      </c>
      <c r="D15" s="58">
        <v>15.55</v>
      </c>
      <c r="E15" s="9">
        <v>61332</v>
      </c>
      <c r="F15" s="10">
        <f t="shared" si="1"/>
        <v>953712.60000000009</v>
      </c>
    </row>
    <row r="16" spans="1:6" ht="15.75" thickBot="1" x14ac:dyDescent="0.3">
      <c r="A16" s="3">
        <v>4</v>
      </c>
      <c r="B16" s="60" t="s">
        <v>139</v>
      </c>
      <c r="C16" s="1"/>
      <c r="D16" s="1"/>
      <c r="E16" s="1"/>
      <c r="F16" s="2"/>
    </row>
    <row r="17" spans="1:6" ht="63.75" x14ac:dyDescent="0.25">
      <c r="A17" s="5" t="s">
        <v>16</v>
      </c>
      <c r="B17" s="6" t="s">
        <v>140</v>
      </c>
      <c r="C17" s="7" t="s">
        <v>11</v>
      </c>
      <c r="D17" s="8">
        <v>624.05999999999995</v>
      </c>
      <c r="E17" s="9">
        <v>21065</v>
      </c>
      <c r="F17" s="10">
        <f t="shared" ref="F17:F19" si="2">+E17*D17</f>
        <v>13145823.899999999</v>
      </c>
    </row>
    <row r="18" spans="1:6" ht="38.25" x14ac:dyDescent="0.25">
      <c r="A18" s="5" t="s">
        <v>17</v>
      </c>
      <c r="B18" s="6" t="s">
        <v>141</v>
      </c>
      <c r="C18" s="7" t="s">
        <v>11</v>
      </c>
      <c r="D18" s="8">
        <v>224.12</v>
      </c>
      <c r="E18" s="9">
        <v>55253</v>
      </c>
      <c r="F18" s="10">
        <f t="shared" si="2"/>
        <v>12383302.359999999</v>
      </c>
    </row>
    <row r="19" spans="1:6" ht="64.5" thickBot="1" x14ac:dyDescent="0.3">
      <c r="A19" s="5" t="s">
        <v>18</v>
      </c>
      <c r="B19" s="6" t="s">
        <v>142</v>
      </c>
      <c r="C19" s="7" t="s">
        <v>11</v>
      </c>
      <c r="D19" s="8">
        <v>411.73</v>
      </c>
      <c r="E19" s="9">
        <v>22553</v>
      </c>
      <c r="F19" s="10">
        <f t="shared" si="2"/>
        <v>9285746.6900000013</v>
      </c>
    </row>
    <row r="20" spans="1:6" x14ac:dyDescent="0.25">
      <c r="A20" s="3">
        <v>5</v>
      </c>
      <c r="B20" s="1" t="s">
        <v>143</v>
      </c>
      <c r="C20" s="1"/>
      <c r="D20" s="1"/>
      <c r="E20" s="1"/>
      <c r="F20" s="2"/>
    </row>
    <row r="21" spans="1:6" ht="51" x14ac:dyDescent="0.25">
      <c r="A21" s="5" t="s">
        <v>20</v>
      </c>
      <c r="B21" s="6" t="s">
        <v>144</v>
      </c>
      <c r="C21" s="7" t="s">
        <v>11</v>
      </c>
      <c r="D21" s="8">
        <v>5.76</v>
      </c>
      <c r="E21" s="9">
        <v>1317692</v>
      </c>
      <c r="F21" s="10">
        <f t="shared" ref="F21:F23" si="3">+E21*D21</f>
        <v>7589905.9199999999</v>
      </c>
    </row>
    <row r="22" spans="1:6" ht="38.25" x14ac:dyDescent="0.25">
      <c r="A22" s="5" t="s">
        <v>21</v>
      </c>
      <c r="B22" s="6" t="s">
        <v>145</v>
      </c>
      <c r="C22" s="7" t="s">
        <v>2</v>
      </c>
      <c r="D22" s="8">
        <v>12</v>
      </c>
      <c r="E22" s="9">
        <v>851364</v>
      </c>
      <c r="F22" s="10">
        <f t="shared" si="3"/>
        <v>10216368</v>
      </c>
    </row>
    <row r="23" spans="1:6" ht="39" thickBot="1" x14ac:dyDescent="0.3">
      <c r="A23" s="5" t="s">
        <v>22</v>
      </c>
      <c r="B23" s="6" t="s">
        <v>146</v>
      </c>
      <c r="C23" s="7" t="s">
        <v>11</v>
      </c>
      <c r="D23" s="8">
        <v>8.65</v>
      </c>
      <c r="E23" s="9">
        <v>907692</v>
      </c>
      <c r="F23" s="10">
        <f t="shared" si="3"/>
        <v>7851535.8000000007</v>
      </c>
    </row>
    <row r="24" spans="1:6" x14ac:dyDescent="0.25">
      <c r="A24" s="3">
        <v>6</v>
      </c>
      <c r="B24" s="1" t="s">
        <v>23</v>
      </c>
      <c r="C24" s="1"/>
      <c r="D24" s="1"/>
      <c r="E24" s="1"/>
      <c r="F24" s="2"/>
    </row>
    <row r="25" spans="1:6" ht="25.5" x14ac:dyDescent="0.25">
      <c r="A25" s="5" t="s">
        <v>24</v>
      </c>
      <c r="B25" s="6" t="s">
        <v>147</v>
      </c>
      <c r="C25" s="7" t="s">
        <v>11</v>
      </c>
      <c r="D25" s="8">
        <v>185.89</v>
      </c>
      <c r="E25" s="9">
        <v>172175</v>
      </c>
      <c r="F25" s="10">
        <f t="shared" ref="F25:F28" si="4">+E25*D25</f>
        <v>32005610.749999996</v>
      </c>
    </row>
    <row r="26" spans="1:6" x14ac:dyDescent="0.25">
      <c r="A26" s="5">
        <v>6.2</v>
      </c>
      <c r="B26" s="6" t="s">
        <v>148</v>
      </c>
      <c r="C26" s="7" t="s">
        <v>11</v>
      </c>
      <c r="D26" s="8">
        <v>185.89</v>
      </c>
      <c r="E26" s="9">
        <v>55931</v>
      </c>
      <c r="F26" s="10">
        <f t="shared" si="4"/>
        <v>10397013.59</v>
      </c>
    </row>
    <row r="27" spans="1:6" ht="38.25" x14ac:dyDescent="0.25">
      <c r="A27" s="5">
        <v>6.3</v>
      </c>
      <c r="B27" s="6" t="s">
        <v>149</v>
      </c>
      <c r="C27" s="7" t="s">
        <v>11</v>
      </c>
      <c r="D27" s="8">
        <v>185.89</v>
      </c>
      <c r="E27" s="9">
        <v>160352</v>
      </c>
      <c r="F27" s="10">
        <f t="shared" si="4"/>
        <v>29807833.279999997</v>
      </c>
    </row>
    <row r="28" spans="1:6" ht="39" thickBot="1" x14ac:dyDescent="0.3">
      <c r="A28" s="5" t="s">
        <v>152</v>
      </c>
      <c r="B28" s="6" t="s">
        <v>151</v>
      </c>
      <c r="C28" s="7" t="s">
        <v>19</v>
      </c>
      <c r="D28" s="8">
        <v>67.25</v>
      </c>
      <c r="E28" s="9">
        <v>68895</v>
      </c>
      <c r="F28" s="10">
        <f t="shared" si="4"/>
        <v>4633188.75</v>
      </c>
    </row>
    <row r="29" spans="1:6" x14ac:dyDescent="0.25">
      <c r="A29" s="3">
        <v>7</v>
      </c>
      <c r="B29" s="4" t="s">
        <v>153</v>
      </c>
      <c r="C29" s="1"/>
      <c r="D29" s="1"/>
      <c r="E29" s="1"/>
      <c r="F29" s="2"/>
    </row>
    <row r="30" spans="1:6" ht="102" x14ac:dyDescent="0.25">
      <c r="A30" s="5" t="s">
        <v>25</v>
      </c>
      <c r="B30" s="6" t="s">
        <v>154</v>
      </c>
      <c r="C30" s="7" t="s">
        <v>2</v>
      </c>
      <c r="D30" s="8">
        <v>30</v>
      </c>
      <c r="E30" s="9">
        <v>37067</v>
      </c>
      <c r="F30" s="10">
        <f t="shared" ref="F30:F33" si="5">+E30*D30</f>
        <v>1112010</v>
      </c>
    </row>
    <row r="31" spans="1:6" ht="63.75" x14ac:dyDescent="0.25">
      <c r="A31" s="5" t="s">
        <v>26</v>
      </c>
      <c r="B31" s="6" t="s">
        <v>155</v>
      </c>
      <c r="C31" s="7" t="s">
        <v>9</v>
      </c>
      <c r="D31" s="8">
        <v>20</v>
      </c>
      <c r="E31" s="9">
        <v>27818</v>
      </c>
      <c r="F31" s="10">
        <f t="shared" si="5"/>
        <v>556360</v>
      </c>
    </row>
    <row r="32" spans="1:6" ht="63.75" x14ac:dyDescent="0.25">
      <c r="A32" s="5" t="s">
        <v>27</v>
      </c>
      <c r="B32" s="6" t="s">
        <v>156</v>
      </c>
      <c r="C32" s="7" t="s">
        <v>9</v>
      </c>
      <c r="D32" s="8">
        <v>32</v>
      </c>
      <c r="E32" s="9">
        <v>144188</v>
      </c>
      <c r="F32" s="10">
        <f t="shared" si="5"/>
        <v>4614016</v>
      </c>
    </row>
    <row r="33" spans="1:6" ht="64.5" thickBot="1" x14ac:dyDescent="0.3">
      <c r="A33" s="5" t="s">
        <v>28</v>
      </c>
      <c r="B33" s="6" t="s">
        <v>157</v>
      </c>
      <c r="C33" s="7" t="s">
        <v>19</v>
      </c>
      <c r="D33" s="8">
        <v>36</v>
      </c>
      <c r="E33" s="9">
        <v>54298</v>
      </c>
      <c r="F33" s="10">
        <f t="shared" si="5"/>
        <v>1954728</v>
      </c>
    </row>
    <row r="34" spans="1:6" x14ac:dyDescent="0.25">
      <c r="A34" s="3">
        <v>8</v>
      </c>
      <c r="B34" s="4" t="s">
        <v>158</v>
      </c>
      <c r="C34" s="1"/>
      <c r="D34" s="1"/>
      <c r="E34" s="1"/>
      <c r="F34" s="2"/>
    </row>
    <row r="35" spans="1:6" x14ac:dyDescent="0.25">
      <c r="A35" s="5" t="s">
        <v>29</v>
      </c>
      <c r="B35" s="61" t="s">
        <v>159</v>
      </c>
      <c r="C35" s="54"/>
      <c r="D35" s="55"/>
      <c r="E35" s="49"/>
      <c r="F35" s="50"/>
    </row>
    <row r="36" spans="1:6" ht="38.25" x14ac:dyDescent="0.25">
      <c r="A36" s="5" t="s">
        <v>160</v>
      </c>
      <c r="B36" s="6" t="s">
        <v>161</v>
      </c>
      <c r="C36" s="7" t="s">
        <v>19</v>
      </c>
      <c r="D36" s="8">
        <v>128</v>
      </c>
      <c r="E36" s="49">
        <v>36000</v>
      </c>
      <c r="F36" s="10">
        <f t="shared" ref="F36:F39" si="6">+E36*D36</f>
        <v>4608000</v>
      </c>
    </row>
    <row r="37" spans="1:6" ht="38.25" x14ac:dyDescent="0.25">
      <c r="A37" s="5" t="s">
        <v>163</v>
      </c>
      <c r="B37" s="6" t="s">
        <v>162</v>
      </c>
      <c r="C37" s="7" t="s">
        <v>19</v>
      </c>
      <c r="D37" s="8">
        <v>40</v>
      </c>
      <c r="E37" s="49">
        <v>44000</v>
      </c>
      <c r="F37" s="10">
        <f t="shared" si="6"/>
        <v>1760000</v>
      </c>
    </row>
    <row r="38" spans="1:6" ht="38.25" x14ac:dyDescent="0.25">
      <c r="A38" s="5" t="s">
        <v>164</v>
      </c>
      <c r="B38" s="6" t="s">
        <v>162</v>
      </c>
      <c r="C38" s="7" t="s">
        <v>19</v>
      </c>
      <c r="D38" s="8">
        <v>30</v>
      </c>
      <c r="E38" s="49">
        <v>41808</v>
      </c>
      <c r="F38" s="10">
        <f t="shared" si="6"/>
        <v>1254240</v>
      </c>
    </row>
    <row r="39" spans="1:6" ht="51" x14ac:dyDescent="0.25">
      <c r="A39" s="5" t="s">
        <v>166</v>
      </c>
      <c r="B39" s="6" t="s">
        <v>165</v>
      </c>
      <c r="C39" s="7" t="s">
        <v>19</v>
      </c>
      <c r="D39" s="8">
        <v>28</v>
      </c>
      <c r="E39" s="49">
        <v>75000</v>
      </c>
      <c r="F39" s="10">
        <f t="shared" si="6"/>
        <v>2100000</v>
      </c>
    </row>
    <row r="40" spans="1:6" x14ac:dyDescent="0.25">
      <c r="A40" s="5" t="s">
        <v>30</v>
      </c>
      <c r="B40" s="61" t="s">
        <v>167</v>
      </c>
      <c r="C40" s="7"/>
      <c r="D40" s="8"/>
      <c r="E40" s="49"/>
      <c r="F40" s="50"/>
    </row>
    <row r="41" spans="1:6" ht="38.25" x14ac:dyDescent="0.25">
      <c r="A41" s="5" t="s">
        <v>169</v>
      </c>
      <c r="B41" s="6" t="s">
        <v>168</v>
      </c>
      <c r="C41" s="7" t="s">
        <v>2</v>
      </c>
      <c r="D41" s="8">
        <v>32</v>
      </c>
      <c r="E41" s="49">
        <v>35000</v>
      </c>
      <c r="F41" s="10">
        <f>+E41*D41</f>
        <v>1120000</v>
      </c>
    </row>
    <row r="42" spans="1:6" x14ac:dyDescent="0.25">
      <c r="A42" s="5" t="s">
        <v>31</v>
      </c>
      <c r="B42" s="61" t="s">
        <v>170</v>
      </c>
      <c r="C42" s="7"/>
      <c r="D42" s="8"/>
      <c r="E42" s="49"/>
      <c r="F42" s="50"/>
    </row>
    <row r="43" spans="1:6" ht="89.25" x14ac:dyDescent="0.25">
      <c r="A43" s="5" t="s">
        <v>172</v>
      </c>
      <c r="B43" s="6" t="s">
        <v>171</v>
      </c>
      <c r="C43" s="7" t="s">
        <v>2</v>
      </c>
      <c r="D43" s="8">
        <v>62</v>
      </c>
      <c r="E43" s="49">
        <v>134579</v>
      </c>
      <c r="F43" s="10">
        <f t="shared" ref="F43:F47" si="7">+E43*D43</f>
        <v>8343898</v>
      </c>
    </row>
    <row r="44" spans="1:6" ht="102" x14ac:dyDescent="0.25">
      <c r="A44" s="5" t="s">
        <v>174</v>
      </c>
      <c r="B44" s="6" t="s">
        <v>173</v>
      </c>
      <c r="C44" s="7" t="s">
        <v>2</v>
      </c>
      <c r="D44" s="8">
        <v>28</v>
      </c>
      <c r="E44" s="49">
        <v>128873</v>
      </c>
      <c r="F44" s="10">
        <f t="shared" si="7"/>
        <v>3608444</v>
      </c>
    </row>
    <row r="45" spans="1:6" ht="89.25" x14ac:dyDescent="0.25">
      <c r="A45" s="5" t="s">
        <v>176</v>
      </c>
      <c r="B45" s="6" t="s">
        <v>175</v>
      </c>
      <c r="C45" s="7" t="s">
        <v>2</v>
      </c>
      <c r="D45" s="8">
        <v>16</v>
      </c>
      <c r="E45" s="49">
        <v>104982</v>
      </c>
      <c r="F45" s="10">
        <f t="shared" si="7"/>
        <v>1679712</v>
      </c>
    </row>
    <row r="46" spans="1:6" ht="89.25" x14ac:dyDescent="0.25">
      <c r="A46" s="5" t="s">
        <v>178</v>
      </c>
      <c r="B46" s="6" t="s">
        <v>177</v>
      </c>
      <c r="C46" s="7" t="s">
        <v>2</v>
      </c>
      <c r="D46" s="8">
        <v>30</v>
      </c>
      <c r="E46" s="49">
        <v>120000</v>
      </c>
      <c r="F46" s="10">
        <f t="shared" si="7"/>
        <v>3600000</v>
      </c>
    </row>
    <row r="47" spans="1:6" ht="64.5" thickBot="1" x14ac:dyDescent="0.3">
      <c r="A47" s="5" t="s">
        <v>180</v>
      </c>
      <c r="B47" s="6" t="s">
        <v>179</v>
      </c>
      <c r="C47" s="7" t="s">
        <v>2</v>
      </c>
      <c r="D47" s="8">
        <v>12</v>
      </c>
      <c r="E47" s="49">
        <v>214314</v>
      </c>
      <c r="F47" s="10">
        <f t="shared" si="7"/>
        <v>2571768</v>
      </c>
    </row>
    <row r="48" spans="1:6" x14ac:dyDescent="0.25">
      <c r="A48" s="3" t="s">
        <v>32</v>
      </c>
      <c r="B48" s="4" t="s">
        <v>181</v>
      </c>
      <c r="C48" s="1"/>
      <c r="D48" s="1"/>
      <c r="E48" s="1"/>
      <c r="F48" s="2"/>
    </row>
    <row r="49" spans="1:8" ht="51" x14ac:dyDescent="0.25">
      <c r="A49" s="5" t="s">
        <v>183</v>
      </c>
      <c r="B49" s="6" t="s">
        <v>182</v>
      </c>
      <c r="C49" s="8" t="s">
        <v>2</v>
      </c>
      <c r="D49" s="8">
        <v>20</v>
      </c>
      <c r="E49" s="56">
        <v>272352</v>
      </c>
      <c r="F49" s="10">
        <f t="shared" ref="F49:F50" si="8">+E49*D49</f>
        <v>5447040</v>
      </c>
    </row>
    <row r="50" spans="1:8" ht="51" x14ac:dyDescent="0.25">
      <c r="A50" s="5" t="s">
        <v>185</v>
      </c>
      <c r="B50" s="6" t="s">
        <v>184</v>
      </c>
      <c r="C50" s="8" t="s">
        <v>2</v>
      </c>
      <c r="D50" s="8">
        <v>10</v>
      </c>
      <c r="E50" s="56">
        <v>271603</v>
      </c>
      <c r="F50" s="10">
        <f t="shared" si="8"/>
        <v>2716030</v>
      </c>
    </row>
    <row r="51" spans="1:8" ht="25.5" x14ac:dyDescent="0.25">
      <c r="A51" s="5" t="s">
        <v>187</v>
      </c>
      <c r="B51" s="6" t="s">
        <v>186</v>
      </c>
      <c r="C51" s="8" t="s">
        <v>2</v>
      </c>
      <c r="D51" s="8">
        <v>6</v>
      </c>
      <c r="E51" s="56">
        <v>140635</v>
      </c>
      <c r="F51" s="10">
        <f>+E51*D51</f>
        <v>843810</v>
      </c>
    </row>
    <row r="52" spans="1:8" x14ac:dyDescent="0.25">
      <c r="A52" s="66"/>
      <c r="B52" s="69" t="s">
        <v>188</v>
      </c>
      <c r="C52" s="67"/>
      <c r="D52" s="67"/>
      <c r="E52" s="68"/>
      <c r="F52" s="68">
        <f>SUM(F5:F51)</f>
        <v>374373676</v>
      </c>
      <c r="G52" s="11"/>
      <c r="H52" s="57"/>
    </row>
    <row r="53" spans="1:8" x14ac:dyDescent="0.25">
      <c r="A53" s="66"/>
      <c r="B53" s="69" t="s">
        <v>189</v>
      </c>
      <c r="C53" s="67"/>
      <c r="D53" s="67"/>
      <c r="E53" s="98">
        <v>0.28000000000000003</v>
      </c>
      <c r="F53" s="68">
        <f>+F52*E53</f>
        <v>104824629.28000002</v>
      </c>
    </row>
    <row r="54" spans="1:8" x14ac:dyDescent="0.25">
      <c r="A54" s="66"/>
      <c r="B54" s="69" t="s">
        <v>190</v>
      </c>
      <c r="C54" s="67"/>
      <c r="D54" s="67"/>
      <c r="E54" s="98">
        <v>0.05</v>
      </c>
      <c r="F54" s="68">
        <f>+F52*E54</f>
        <v>18718683.800000001</v>
      </c>
    </row>
    <row r="55" spans="1:8" x14ac:dyDescent="0.25">
      <c r="A55" s="66"/>
      <c r="B55" s="69" t="s">
        <v>191</v>
      </c>
      <c r="C55" s="67"/>
      <c r="D55" s="67"/>
      <c r="E55" s="68"/>
      <c r="F55" s="68">
        <v>18957301</v>
      </c>
    </row>
    <row r="56" spans="1:8" x14ac:dyDescent="0.25">
      <c r="A56" s="66"/>
      <c r="B56" s="69" t="s">
        <v>192</v>
      </c>
      <c r="C56" s="67"/>
      <c r="D56" s="67"/>
      <c r="E56" s="68"/>
      <c r="F56" s="68">
        <f>+F52+F53+F54+F55</f>
        <v>516874290.08000004</v>
      </c>
    </row>
    <row r="57" spans="1:8" x14ac:dyDescent="0.25">
      <c r="A57" s="66"/>
      <c r="B57" s="69" t="s">
        <v>193</v>
      </c>
      <c r="C57" s="67"/>
      <c r="D57" s="67"/>
      <c r="E57" s="100">
        <f>+F57/F52</f>
        <v>7.0053354926589442E-2</v>
      </c>
      <c r="F57" s="68">
        <v>26226132</v>
      </c>
    </row>
    <row r="58" spans="1:8" x14ac:dyDescent="0.25">
      <c r="A58" s="66"/>
      <c r="B58" s="69" t="s">
        <v>194</v>
      </c>
      <c r="C58" s="67"/>
      <c r="D58" s="67"/>
      <c r="E58" s="68"/>
      <c r="F58" s="68">
        <f>+F56+F57</f>
        <v>543100422.08000004</v>
      </c>
    </row>
    <row r="59" spans="1:8" x14ac:dyDescent="0.25">
      <c r="A59" s="62"/>
      <c r="B59" s="63"/>
      <c r="C59" s="64"/>
      <c r="D59" s="64"/>
      <c r="E59" s="65"/>
      <c r="F59" s="65"/>
    </row>
    <row r="60" spans="1:8" x14ac:dyDescent="0.25">
      <c r="A60" s="62"/>
      <c r="B60" s="63"/>
      <c r="C60" s="64"/>
      <c r="D60" s="64"/>
      <c r="E60" s="65"/>
      <c r="F60" s="65"/>
    </row>
  </sheetData>
  <mergeCells count="2">
    <mergeCell ref="A1:F1"/>
    <mergeCell ref="A2:F2"/>
  </mergeCells>
  <phoneticPr fontId="10" type="noConversion"/>
  <pageMargins left="0.7" right="0.7" top="0.75" bottom="0.75" header="0.3" footer="0.3"/>
  <pageSetup paperSize="9" scale="68" orientation="portrait" r:id="rId1"/>
  <rowBreaks count="2" manualBreakCount="2">
    <brk id="15" max="16383" man="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1"/>
  <sheetViews>
    <sheetView topLeftCell="A22" workbookViewId="0">
      <selection activeCell="G16" sqref="G16"/>
    </sheetView>
  </sheetViews>
  <sheetFormatPr baseColWidth="10" defaultRowHeight="15" x14ac:dyDescent="0.25"/>
  <cols>
    <col min="1" max="1" width="19.42578125" customWidth="1"/>
    <col min="2" max="2" width="20.42578125" customWidth="1"/>
    <col min="3" max="3" width="17.7109375" customWidth="1"/>
    <col min="4" max="4" width="16.140625" customWidth="1"/>
    <col min="5" max="5" width="13" customWidth="1"/>
    <col min="6" max="6" width="13.7109375" customWidth="1"/>
    <col min="7" max="7" width="15.140625" customWidth="1"/>
    <col min="8" max="8" width="16.28515625" bestFit="1" customWidth="1"/>
  </cols>
  <sheetData>
    <row r="3" spans="1:7" ht="33.75" customHeight="1" x14ac:dyDescent="0.25"/>
    <row r="4" spans="1:7" ht="62.25" customHeight="1" x14ac:dyDescent="0.25">
      <c r="A4" s="146" t="s">
        <v>295</v>
      </c>
      <c r="B4" s="198" t="s">
        <v>384</v>
      </c>
      <c r="C4" s="198"/>
      <c r="D4" s="198"/>
      <c r="E4" s="198"/>
      <c r="F4" s="198"/>
      <c r="G4" s="198"/>
    </row>
    <row r="5" spans="1:7" x14ac:dyDescent="0.25">
      <c r="A5" s="146" t="s">
        <v>296</v>
      </c>
      <c r="B5" s="147" t="s">
        <v>297</v>
      </c>
      <c r="C5" s="148"/>
      <c r="D5" s="147"/>
      <c r="E5" s="149"/>
      <c r="F5" s="149"/>
      <c r="G5" s="21"/>
    </row>
    <row r="6" spans="1:7" x14ac:dyDescent="0.25">
      <c r="A6" s="79" t="s">
        <v>336</v>
      </c>
      <c r="B6" s="82">
        <f>+(TABACAL!F52+TABACAL!F53+TABACAL!F54)</f>
        <v>497916989.08000004</v>
      </c>
      <c r="C6" s="21"/>
      <c r="D6" s="21"/>
      <c r="E6" s="21"/>
      <c r="F6" s="21"/>
      <c r="G6" s="21"/>
    </row>
    <row r="7" spans="1:7" ht="25.5" x14ac:dyDescent="0.25">
      <c r="A7" s="129" t="s">
        <v>0</v>
      </c>
      <c r="B7" s="129" t="s">
        <v>298</v>
      </c>
      <c r="C7" s="130" t="s">
        <v>39</v>
      </c>
      <c r="D7" s="131" t="s">
        <v>299</v>
      </c>
      <c r="E7" s="131" t="s">
        <v>300</v>
      </c>
      <c r="F7" s="131" t="s">
        <v>301</v>
      </c>
      <c r="G7" s="132" t="s">
        <v>302</v>
      </c>
    </row>
    <row r="8" spans="1:7" x14ac:dyDescent="0.25">
      <c r="A8" s="138">
        <v>1</v>
      </c>
      <c r="B8" s="199" t="s">
        <v>303</v>
      </c>
      <c r="C8" s="199"/>
      <c r="D8" s="199"/>
      <c r="E8" s="199"/>
      <c r="F8" s="199"/>
      <c r="G8" s="199"/>
    </row>
    <row r="9" spans="1:7" ht="63.75" x14ac:dyDescent="0.25">
      <c r="A9" s="102" t="s">
        <v>6</v>
      </c>
      <c r="B9" s="103" t="s">
        <v>315</v>
      </c>
      <c r="C9" s="102">
        <v>1</v>
      </c>
      <c r="D9" s="104">
        <v>6500000</v>
      </c>
      <c r="E9" s="105">
        <v>0.5</v>
      </c>
      <c r="F9" s="106">
        <v>3</v>
      </c>
      <c r="G9" s="107">
        <f>+D9*F9*E9</f>
        <v>9750000</v>
      </c>
    </row>
    <row r="10" spans="1:7" ht="63.75" x14ac:dyDescent="0.25">
      <c r="A10" s="101" t="s">
        <v>7</v>
      </c>
      <c r="B10" s="108" t="s">
        <v>304</v>
      </c>
      <c r="C10" s="101">
        <v>1</v>
      </c>
      <c r="D10" s="104">
        <v>5500000</v>
      </c>
      <c r="E10" s="109">
        <v>1</v>
      </c>
      <c r="F10" s="110">
        <v>3</v>
      </c>
      <c r="G10" s="107">
        <f>+D10*F10*E10</f>
        <v>16500000</v>
      </c>
    </row>
    <row r="11" spans="1:7" ht="51" x14ac:dyDescent="0.25">
      <c r="A11" s="101" t="s">
        <v>8</v>
      </c>
      <c r="B11" s="112" t="s">
        <v>305</v>
      </c>
      <c r="C11" s="101">
        <v>1</v>
      </c>
      <c r="D11" s="104">
        <v>2500000</v>
      </c>
      <c r="E11" s="109">
        <v>1</v>
      </c>
      <c r="F11" s="110">
        <v>3</v>
      </c>
      <c r="G11" s="107">
        <f>+D11*F11*E11</f>
        <v>7500000</v>
      </c>
    </row>
    <row r="12" spans="1:7" x14ac:dyDescent="0.25">
      <c r="A12" s="101"/>
      <c r="B12" s="113"/>
      <c r="C12" s="114"/>
      <c r="D12" s="115"/>
      <c r="E12" s="116"/>
      <c r="F12" s="117"/>
      <c r="G12" s="107"/>
    </row>
    <row r="13" spans="1:7" x14ac:dyDescent="0.25">
      <c r="A13" s="118"/>
      <c r="B13" s="111" t="s">
        <v>306</v>
      </c>
      <c r="C13" s="114"/>
      <c r="D13" s="119"/>
      <c r="E13" s="116"/>
      <c r="F13" s="120"/>
      <c r="G13" s="121">
        <f>+SUM(G9:G11)</f>
        <v>33750000</v>
      </c>
    </row>
    <row r="14" spans="1:7" x14ac:dyDescent="0.25">
      <c r="A14" s="118"/>
      <c r="B14" s="111"/>
      <c r="C14" s="114"/>
      <c r="D14" s="119"/>
      <c r="E14" s="116"/>
      <c r="F14" s="120"/>
      <c r="G14" s="121"/>
    </row>
    <row r="15" spans="1:7" x14ac:dyDescent="0.25">
      <c r="A15" s="118"/>
      <c r="B15" s="122"/>
      <c r="C15" s="114"/>
      <c r="D15" s="123"/>
      <c r="E15" s="200" t="s">
        <v>307</v>
      </c>
      <c r="F15" s="200"/>
      <c r="G15" s="124">
        <f>+'factor multiplicador'!D19</f>
        <v>1.6533333333333333</v>
      </c>
    </row>
    <row r="16" spans="1:7" x14ac:dyDescent="0.25">
      <c r="A16" s="118"/>
      <c r="B16" s="201" t="s">
        <v>308</v>
      </c>
      <c r="C16" s="202"/>
      <c r="D16" s="202"/>
      <c r="E16" s="202"/>
      <c r="F16" s="203"/>
      <c r="G16" s="121">
        <f>G13*G15</f>
        <v>55800000</v>
      </c>
    </row>
    <row r="17" spans="1:8" x14ac:dyDescent="0.25">
      <c r="A17" s="140">
        <v>2</v>
      </c>
      <c r="B17" s="192" t="s">
        <v>309</v>
      </c>
      <c r="C17" s="193"/>
      <c r="D17" s="193"/>
      <c r="E17" s="193"/>
      <c r="F17" s="193"/>
      <c r="G17" s="194"/>
    </row>
    <row r="18" spans="1:8" ht="38.25" x14ac:dyDescent="0.25">
      <c r="A18" s="141"/>
      <c r="B18" s="142" t="s">
        <v>206</v>
      </c>
      <c r="C18" s="140" t="s">
        <v>38</v>
      </c>
      <c r="D18" s="140" t="s">
        <v>39</v>
      </c>
      <c r="E18" s="143" t="s">
        <v>299</v>
      </c>
      <c r="F18" s="143" t="s">
        <v>301</v>
      </c>
      <c r="G18" s="144" t="s">
        <v>310</v>
      </c>
    </row>
    <row r="19" spans="1:8" x14ac:dyDescent="0.25">
      <c r="A19" s="101" t="s">
        <v>10</v>
      </c>
      <c r="B19" s="108" t="s">
        <v>333</v>
      </c>
      <c r="C19" s="101" t="s">
        <v>38</v>
      </c>
      <c r="D19" s="101">
        <v>1</v>
      </c>
      <c r="E19" s="107">
        <v>1500000</v>
      </c>
      <c r="F19" s="110">
        <v>1</v>
      </c>
      <c r="G19" s="107">
        <f>+F19*E19</f>
        <v>1500000</v>
      </c>
    </row>
    <row r="20" spans="1:8" ht="51" x14ac:dyDescent="0.25">
      <c r="A20" s="101" t="s">
        <v>12</v>
      </c>
      <c r="B20" s="108" t="s">
        <v>311</v>
      </c>
      <c r="C20" s="101" t="s">
        <v>38</v>
      </c>
      <c r="D20" s="101">
        <v>1</v>
      </c>
      <c r="E20" s="107">
        <v>200000</v>
      </c>
      <c r="F20" s="110">
        <v>3</v>
      </c>
      <c r="G20" s="107">
        <f>+D20*F20*E20</f>
        <v>600000</v>
      </c>
    </row>
    <row r="21" spans="1:8" ht="51" x14ac:dyDescent="0.25">
      <c r="A21" s="101" t="s">
        <v>13</v>
      </c>
      <c r="B21" s="108" t="s">
        <v>312</v>
      </c>
      <c r="C21" s="101" t="s">
        <v>313</v>
      </c>
      <c r="D21" s="101">
        <v>1</v>
      </c>
      <c r="E21" s="107">
        <v>150000</v>
      </c>
      <c r="F21" s="110">
        <v>3</v>
      </c>
      <c r="G21" s="107">
        <f t="shared" ref="G21" si="0">+D21*F21*E21</f>
        <v>450000</v>
      </c>
    </row>
    <row r="22" spans="1:8" x14ac:dyDescent="0.25">
      <c r="A22" s="118"/>
      <c r="B22" s="111" t="s">
        <v>314</v>
      </c>
      <c r="C22" s="114"/>
      <c r="D22" s="119"/>
      <c r="E22" s="116"/>
      <c r="F22" s="120"/>
      <c r="G22" s="121">
        <f>SUM(G19:G21)</f>
        <v>2550000</v>
      </c>
    </row>
    <row r="23" spans="1:8" x14ac:dyDescent="0.25">
      <c r="A23" s="140">
        <v>3</v>
      </c>
      <c r="B23" s="192" t="s">
        <v>334</v>
      </c>
      <c r="C23" s="193"/>
      <c r="D23" s="193"/>
      <c r="E23" s="193"/>
      <c r="F23" s="194"/>
      <c r="G23" s="145"/>
    </row>
    <row r="24" spans="1:8" x14ac:dyDescent="0.25">
      <c r="A24" s="101" t="s">
        <v>14</v>
      </c>
      <c r="B24" s="195" t="s">
        <v>335</v>
      </c>
      <c r="C24" s="196"/>
      <c r="D24" s="196"/>
      <c r="E24" s="197"/>
      <c r="F24" s="139">
        <v>9.3338107152903207E-2</v>
      </c>
      <c r="G24" s="127">
        <f>+B6*F24</f>
        <v>46474629.279999979</v>
      </c>
    </row>
    <row r="25" spans="1:8" x14ac:dyDescent="0.25">
      <c r="A25" s="138"/>
      <c r="B25" s="111" t="s">
        <v>337</v>
      </c>
      <c r="C25" s="125"/>
      <c r="D25" s="125"/>
      <c r="E25" s="125"/>
      <c r="F25" s="126"/>
      <c r="G25" s="127">
        <f>+G24</f>
        <v>46474629.279999979</v>
      </c>
    </row>
    <row r="26" spans="1:8" ht="15.75" x14ac:dyDescent="0.25">
      <c r="A26" s="138"/>
      <c r="B26" s="188" t="s">
        <v>188</v>
      </c>
      <c r="C26" s="189"/>
      <c r="D26" s="189"/>
      <c r="E26" s="190"/>
      <c r="F26" s="191"/>
      <c r="G26" s="127">
        <f>+TABACAL!F52</f>
        <v>374373676</v>
      </c>
    </row>
    <row r="27" spans="1:8" ht="15.75" x14ac:dyDescent="0.25">
      <c r="A27" s="118"/>
      <c r="B27" s="188" t="s">
        <v>34</v>
      </c>
      <c r="C27" s="189"/>
      <c r="D27" s="189"/>
      <c r="E27" s="190">
        <v>0.28000000000000003</v>
      </c>
      <c r="F27" s="191">
        <v>0.28000000000000003</v>
      </c>
      <c r="G27" s="127">
        <f>+G16+G22+G25</f>
        <v>104824629.27999997</v>
      </c>
      <c r="H27" s="99"/>
    </row>
    <row r="28" spans="1:8" ht="15.75" x14ac:dyDescent="0.25">
      <c r="A28" s="128"/>
      <c r="B28" s="188" t="s">
        <v>35</v>
      </c>
      <c r="C28" s="189"/>
      <c r="D28" s="189"/>
      <c r="E28" s="190">
        <v>0.05</v>
      </c>
      <c r="F28" s="191"/>
      <c r="G28" s="127">
        <f>+G26*E28</f>
        <v>18718683.800000001</v>
      </c>
    </row>
    <row r="29" spans="1:8" ht="15.75" x14ac:dyDescent="0.25">
      <c r="A29" s="128"/>
      <c r="B29" s="188" t="s">
        <v>191</v>
      </c>
      <c r="C29" s="189"/>
      <c r="D29" s="189"/>
      <c r="E29" s="190"/>
      <c r="F29" s="191"/>
      <c r="G29" s="127">
        <f>+TABACAL!F55</f>
        <v>18957301</v>
      </c>
    </row>
    <row r="30" spans="1:8" ht="15.75" x14ac:dyDescent="0.25">
      <c r="A30" s="128"/>
      <c r="B30" s="188" t="s">
        <v>338</v>
      </c>
      <c r="C30" s="189"/>
      <c r="D30" s="189"/>
      <c r="E30" s="190"/>
      <c r="F30" s="191"/>
      <c r="G30" s="127">
        <f>+G26+G27+G28+G29</f>
        <v>516874290.07999998</v>
      </c>
    </row>
    <row r="31" spans="1:8" ht="15.75" x14ac:dyDescent="0.25">
      <c r="A31" s="128"/>
      <c r="B31" s="188"/>
      <c r="C31" s="189"/>
      <c r="D31" s="189"/>
      <c r="E31" s="190"/>
      <c r="F31" s="191"/>
      <c r="G31" s="127"/>
    </row>
  </sheetData>
  <mergeCells count="19">
    <mergeCell ref="B4:G4"/>
    <mergeCell ref="B8:G8"/>
    <mergeCell ref="E15:F15"/>
    <mergeCell ref="B16:F16"/>
    <mergeCell ref="B17:G17"/>
    <mergeCell ref="B23:F23"/>
    <mergeCell ref="B27:D27"/>
    <mergeCell ref="B24:E24"/>
    <mergeCell ref="B28:D28"/>
    <mergeCell ref="E28:F28"/>
    <mergeCell ref="E27:F27"/>
    <mergeCell ref="B26:D26"/>
    <mergeCell ref="E26:F26"/>
    <mergeCell ref="B29:D29"/>
    <mergeCell ref="E29:F29"/>
    <mergeCell ref="B30:D30"/>
    <mergeCell ref="E30:F30"/>
    <mergeCell ref="B31:D31"/>
    <mergeCell ref="E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3"/>
  <sheetViews>
    <sheetView workbookViewId="0">
      <selection activeCell="F22" sqref="F22"/>
    </sheetView>
  </sheetViews>
  <sheetFormatPr baseColWidth="10" defaultRowHeight="15" x14ac:dyDescent="0.25"/>
  <cols>
    <col min="3" max="3" width="33" customWidth="1"/>
  </cols>
  <sheetData>
    <row r="2" spans="1:4" x14ac:dyDescent="0.25">
      <c r="A2" s="206" t="s">
        <v>332</v>
      </c>
      <c r="B2" s="206"/>
      <c r="C2" s="206"/>
      <c r="D2" s="206"/>
    </row>
    <row r="3" spans="1:4" x14ac:dyDescent="0.25">
      <c r="A3" s="206" t="s">
        <v>316</v>
      </c>
      <c r="B3" s="206"/>
      <c r="C3" s="206"/>
      <c r="D3" s="206"/>
    </row>
    <row r="4" spans="1:4" x14ac:dyDescent="0.25">
      <c r="A4" s="156">
        <v>1</v>
      </c>
      <c r="B4" s="157" t="s">
        <v>317</v>
      </c>
      <c r="C4" s="158"/>
      <c r="D4" s="159">
        <v>1</v>
      </c>
    </row>
    <row r="5" spans="1:4" x14ac:dyDescent="0.25">
      <c r="A5" s="156">
        <v>2</v>
      </c>
      <c r="B5" s="157" t="s">
        <v>318</v>
      </c>
      <c r="C5" s="158"/>
      <c r="D5" s="159">
        <f>SUM(D6:D13)</f>
        <v>0.6333333333333333</v>
      </c>
    </row>
    <row r="6" spans="1:4" x14ac:dyDescent="0.25">
      <c r="A6" s="101"/>
      <c r="B6" s="204" t="s">
        <v>319</v>
      </c>
      <c r="C6" s="205"/>
      <c r="D6" s="133">
        <v>0.08</v>
      </c>
    </row>
    <row r="7" spans="1:4" x14ac:dyDescent="0.25">
      <c r="A7" s="101"/>
      <c r="B7" s="204" t="s">
        <v>320</v>
      </c>
      <c r="C7" s="205"/>
      <c r="D7" s="133">
        <v>0.01</v>
      </c>
    </row>
    <row r="8" spans="1:4" x14ac:dyDescent="0.25">
      <c r="A8" s="101"/>
      <c r="B8" s="204" t="s">
        <v>321</v>
      </c>
      <c r="C8" s="205"/>
      <c r="D8" s="133">
        <v>8.3333333333333329E-2</v>
      </c>
    </row>
    <row r="9" spans="1:4" x14ac:dyDescent="0.25">
      <c r="A9" s="101"/>
      <c r="B9" s="204" t="s">
        <v>322</v>
      </c>
      <c r="C9" s="205"/>
      <c r="D9" s="133">
        <v>0.05</v>
      </c>
    </row>
    <row r="10" spans="1:4" x14ac:dyDescent="0.25">
      <c r="A10" s="101"/>
      <c r="B10" s="204" t="s">
        <v>323</v>
      </c>
      <c r="C10" s="205"/>
      <c r="D10" s="133">
        <v>0.16</v>
      </c>
    </row>
    <row r="11" spans="1:4" x14ac:dyDescent="0.25">
      <c r="A11" s="101"/>
      <c r="B11" s="204" t="s">
        <v>324</v>
      </c>
      <c r="C11" s="205"/>
      <c r="D11" s="133">
        <v>0.12</v>
      </c>
    </row>
    <row r="12" spans="1:4" x14ac:dyDescent="0.25">
      <c r="A12" s="101"/>
      <c r="B12" s="204" t="s">
        <v>325</v>
      </c>
      <c r="C12" s="205"/>
      <c r="D12" s="133">
        <v>7.0000000000000007E-2</v>
      </c>
    </row>
    <row r="13" spans="1:4" x14ac:dyDescent="0.25">
      <c r="A13" s="101"/>
      <c r="B13" s="204" t="s">
        <v>326</v>
      </c>
      <c r="C13" s="205"/>
      <c r="D13" s="133">
        <v>0.06</v>
      </c>
    </row>
    <row r="14" spans="1:4" x14ac:dyDescent="0.25">
      <c r="A14" s="156">
        <v>3</v>
      </c>
      <c r="B14" s="157" t="s">
        <v>327</v>
      </c>
      <c r="C14" s="158"/>
      <c r="D14" s="159">
        <f>SUM(D15:D16)</f>
        <v>0.02</v>
      </c>
    </row>
    <row r="15" spans="1:4" x14ac:dyDescent="0.25">
      <c r="A15" s="101"/>
      <c r="B15" s="134" t="s">
        <v>328</v>
      </c>
      <c r="C15" s="134"/>
      <c r="D15" s="135">
        <v>0.01</v>
      </c>
    </row>
    <row r="16" spans="1:4" x14ac:dyDescent="0.25">
      <c r="A16" s="101"/>
      <c r="B16" s="134" t="s">
        <v>329</v>
      </c>
      <c r="C16" s="134"/>
      <c r="D16" s="135">
        <v>0.01</v>
      </c>
    </row>
    <row r="17" spans="1:4" x14ac:dyDescent="0.25">
      <c r="A17" s="136"/>
      <c r="B17" s="136"/>
      <c r="C17" s="136"/>
      <c r="D17" s="137"/>
    </row>
    <row r="18" spans="1:4" x14ac:dyDescent="0.25">
      <c r="A18" s="136"/>
      <c r="B18" s="136"/>
      <c r="C18" s="136"/>
      <c r="D18" s="137"/>
    </row>
    <row r="19" spans="1:4" ht="15.75" x14ac:dyDescent="0.25">
      <c r="A19" s="160"/>
      <c r="B19" s="157" t="s">
        <v>316</v>
      </c>
      <c r="C19" s="158"/>
      <c r="D19" s="161">
        <f>+D4+D5+D14</f>
        <v>1.6533333333333333</v>
      </c>
    </row>
    <row r="22" spans="1:4" x14ac:dyDescent="0.25">
      <c r="B22" t="s">
        <v>330</v>
      </c>
    </row>
    <row r="23" spans="1:4" x14ac:dyDescent="0.25">
      <c r="B23" t="s">
        <v>331</v>
      </c>
    </row>
  </sheetData>
  <mergeCells count="10">
    <mergeCell ref="B13:C13"/>
    <mergeCell ref="A2:D2"/>
    <mergeCell ref="A3:D3"/>
    <mergeCell ref="B6:C6"/>
    <mergeCell ref="B7:C7"/>
    <mergeCell ref="B8:C8"/>
    <mergeCell ref="B9:C9"/>
    <mergeCell ref="B10:C10"/>
    <mergeCell ref="B11:C11"/>
    <mergeCell ref="B12:C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46"/>
  <sheetViews>
    <sheetView topLeftCell="A40" zoomScaleNormal="100" workbookViewId="0">
      <selection activeCell="I43" sqref="I43"/>
    </sheetView>
  </sheetViews>
  <sheetFormatPr baseColWidth="10" defaultRowHeight="15" x14ac:dyDescent="0.25"/>
  <cols>
    <col min="1" max="1" width="17" customWidth="1"/>
    <col min="2" max="2" width="52.42578125" customWidth="1"/>
    <col min="3" max="3" width="9.7109375" customWidth="1"/>
    <col min="4" max="4" width="10.5703125" customWidth="1"/>
    <col min="6" max="6" width="15.5703125" customWidth="1"/>
  </cols>
  <sheetData>
    <row r="6" spans="1:6" ht="63.75" customHeight="1" x14ac:dyDescent="0.25">
      <c r="A6" s="162" t="s">
        <v>295</v>
      </c>
      <c r="B6" s="207" t="s">
        <v>375</v>
      </c>
      <c r="C6" s="207"/>
      <c r="D6" s="207"/>
      <c r="E6" s="207"/>
      <c r="F6" s="207"/>
    </row>
    <row r="7" spans="1:6" x14ac:dyDescent="0.25">
      <c r="A7" s="162" t="s">
        <v>296</v>
      </c>
      <c r="B7" s="163" t="s">
        <v>385</v>
      </c>
      <c r="C7" s="164"/>
      <c r="D7" s="163"/>
      <c r="E7" s="165"/>
      <c r="F7" s="165"/>
    </row>
    <row r="8" spans="1:6" x14ac:dyDescent="0.25">
      <c r="A8" s="166" t="s">
        <v>380</v>
      </c>
      <c r="B8" s="167" t="s">
        <v>339</v>
      </c>
      <c r="C8" s="167"/>
      <c r="D8" s="167"/>
      <c r="E8" s="167"/>
      <c r="F8" s="167"/>
    </row>
    <row r="9" spans="1:6" ht="24" x14ac:dyDescent="0.25">
      <c r="A9" s="168">
        <v>1</v>
      </c>
      <c r="B9" s="167" t="s">
        <v>340</v>
      </c>
      <c r="C9" s="167" t="s">
        <v>376</v>
      </c>
      <c r="D9" s="167" t="s">
        <v>377</v>
      </c>
      <c r="E9" s="167" t="s">
        <v>378</v>
      </c>
      <c r="F9" s="167" t="s">
        <v>379</v>
      </c>
    </row>
    <row r="10" spans="1:6" ht="36" x14ac:dyDescent="0.25">
      <c r="A10" s="150" t="s">
        <v>6</v>
      </c>
      <c r="B10" s="175" t="s">
        <v>341</v>
      </c>
      <c r="C10" s="151" t="s">
        <v>342</v>
      </c>
      <c r="D10" s="152">
        <v>3</v>
      </c>
      <c r="E10" s="153">
        <v>35000</v>
      </c>
      <c r="F10" s="153">
        <f t="shared" ref="F10:F18" si="0">D10*E10</f>
        <v>105000</v>
      </c>
    </row>
    <row r="11" spans="1:6" ht="36" x14ac:dyDescent="0.25">
      <c r="A11" s="150" t="s">
        <v>7</v>
      </c>
      <c r="B11" s="175" t="s">
        <v>343</v>
      </c>
      <c r="C11" s="151" t="s">
        <v>342</v>
      </c>
      <c r="D11" s="152">
        <v>1</v>
      </c>
      <c r="E11" s="153">
        <v>80000</v>
      </c>
      <c r="F11" s="153">
        <f t="shared" si="0"/>
        <v>80000</v>
      </c>
    </row>
    <row r="12" spans="1:6" ht="24" x14ac:dyDescent="0.25">
      <c r="A12" s="150" t="s">
        <v>8</v>
      </c>
      <c r="B12" s="175" t="s">
        <v>344</v>
      </c>
      <c r="C12" s="151" t="s">
        <v>342</v>
      </c>
      <c r="D12" s="152">
        <v>100</v>
      </c>
      <c r="E12" s="153">
        <v>250</v>
      </c>
      <c r="F12" s="153">
        <f t="shared" si="0"/>
        <v>25000</v>
      </c>
    </row>
    <row r="13" spans="1:6" ht="24" x14ac:dyDescent="0.25">
      <c r="A13" s="150" t="s">
        <v>386</v>
      </c>
      <c r="B13" s="175" t="s">
        <v>345</v>
      </c>
      <c r="C13" s="151" t="s">
        <v>342</v>
      </c>
      <c r="D13" s="152">
        <v>100</v>
      </c>
      <c r="E13" s="153">
        <v>250</v>
      </c>
      <c r="F13" s="153">
        <f t="shared" si="0"/>
        <v>25000</v>
      </c>
    </row>
    <row r="14" spans="1:6" ht="24" x14ac:dyDescent="0.25">
      <c r="A14" s="150" t="s">
        <v>387</v>
      </c>
      <c r="B14" s="175" t="s">
        <v>346</v>
      </c>
      <c r="C14" s="151" t="s">
        <v>342</v>
      </c>
      <c r="D14" s="152">
        <v>100</v>
      </c>
      <c r="E14" s="153">
        <v>120</v>
      </c>
      <c r="F14" s="153">
        <f t="shared" si="0"/>
        <v>12000</v>
      </c>
    </row>
    <row r="15" spans="1:6" ht="24" x14ac:dyDescent="0.25">
      <c r="A15" s="150" t="s">
        <v>388</v>
      </c>
      <c r="B15" s="175" t="s">
        <v>347</v>
      </c>
      <c r="C15" s="151" t="s">
        <v>342</v>
      </c>
      <c r="D15" s="152">
        <v>1</v>
      </c>
      <c r="E15" s="153">
        <v>140000</v>
      </c>
      <c r="F15" s="153">
        <f t="shared" si="0"/>
        <v>140000</v>
      </c>
    </row>
    <row r="16" spans="1:6" x14ac:dyDescent="0.25">
      <c r="A16" s="150" t="s">
        <v>389</v>
      </c>
      <c r="B16" s="175" t="s">
        <v>348</v>
      </c>
      <c r="C16" s="151" t="s">
        <v>33</v>
      </c>
      <c r="D16" s="152">
        <v>2</v>
      </c>
      <c r="E16" s="153">
        <v>550000</v>
      </c>
      <c r="F16" s="153">
        <f t="shared" si="0"/>
        <v>1100000</v>
      </c>
    </row>
    <row r="17" spans="1:6" ht="24" x14ac:dyDescent="0.25">
      <c r="A17" s="150" t="s">
        <v>390</v>
      </c>
      <c r="B17" s="175" t="s">
        <v>349</v>
      </c>
      <c r="C17" s="151" t="s">
        <v>342</v>
      </c>
      <c r="D17" s="152">
        <v>100</v>
      </c>
      <c r="E17" s="153">
        <v>1000</v>
      </c>
      <c r="F17" s="153">
        <f t="shared" si="0"/>
        <v>100000</v>
      </c>
    </row>
    <row r="18" spans="1:6" ht="36" x14ac:dyDescent="0.25">
      <c r="A18" s="150" t="s">
        <v>391</v>
      </c>
      <c r="B18" s="175" t="s">
        <v>350</v>
      </c>
      <c r="C18" s="151" t="s">
        <v>33</v>
      </c>
      <c r="D18" s="152">
        <v>8</v>
      </c>
      <c r="E18" s="153">
        <v>300000</v>
      </c>
      <c r="F18" s="153">
        <f t="shared" si="0"/>
        <v>2400000</v>
      </c>
    </row>
    <row r="19" spans="1:6" x14ac:dyDescent="0.25">
      <c r="A19" s="166">
        <v>2</v>
      </c>
      <c r="B19" s="167" t="s">
        <v>351</v>
      </c>
      <c r="C19" s="167"/>
      <c r="D19" s="174"/>
      <c r="E19" s="167"/>
      <c r="F19" s="167"/>
    </row>
    <row r="20" spans="1:6" x14ac:dyDescent="0.25">
      <c r="A20" s="150" t="s">
        <v>10</v>
      </c>
      <c r="B20" s="175" t="s">
        <v>352</v>
      </c>
      <c r="C20" s="151" t="s">
        <v>342</v>
      </c>
      <c r="D20" s="152">
        <v>3</v>
      </c>
      <c r="E20" s="153">
        <v>85000</v>
      </c>
      <c r="F20" s="153">
        <f>D20*E20</f>
        <v>255000</v>
      </c>
    </row>
    <row r="21" spans="1:6" x14ac:dyDescent="0.25">
      <c r="A21" s="168">
        <v>3</v>
      </c>
      <c r="B21" s="167" t="s">
        <v>353</v>
      </c>
      <c r="C21" s="167"/>
      <c r="D21" s="174"/>
      <c r="E21" s="167"/>
      <c r="F21" s="167"/>
    </row>
    <row r="22" spans="1:6" x14ac:dyDescent="0.25">
      <c r="A22" s="150" t="s">
        <v>14</v>
      </c>
      <c r="B22" s="175" t="s">
        <v>354</v>
      </c>
      <c r="C22" s="151" t="s">
        <v>342</v>
      </c>
      <c r="D22" s="152">
        <v>10</v>
      </c>
      <c r="E22" s="153">
        <v>150000</v>
      </c>
      <c r="F22" s="153">
        <f>E22*D22</f>
        <v>1500000</v>
      </c>
    </row>
    <row r="23" spans="1:6" x14ac:dyDescent="0.25">
      <c r="A23" s="168">
        <v>4</v>
      </c>
      <c r="B23" s="167" t="s">
        <v>355</v>
      </c>
      <c r="C23" s="167"/>
      <c r="D23" s="174"/>
      <c r="E23" s="167"/>
      <c r="F23" s="167"/>
    </row>
    <row r="24" spans="1:6" ht="36" x14ac:dyDescent="0.25">
      <c r="A24" s="150" t="s">
        <v>16</v>
      </c>
      <c r="B24" s="175" t="s">
        <v>356</v>
      </c>
      <c r="C24" s="151" t="s">
        <v>342</v>
      </c>
      <c r="D24" s="152">
        <v>3</v>
      </c>
      <c r="E24" s="153">
        <v>350000</v>
      </c>
      <c r="F24" s="153">
        <f>E24*D24</f>
        <v>1050000</v>
      </c>
    </row>
    <row r="25" spans="1:6" x14ac:dyDescent="0.25">
      <c r="A25" s="150" t="s">
        <v>17</v>
      </c>
      <c r="B25" s="175" t="s">
        <v>352</v>
      </c>
      <c r="C25" s="151" t="s">
        <v>357</v>
      </c>
      <c r="D25" s="152">
        <v>2</v>
      </c>
      <c r="E25" s="153">
        <v>68250</v>
      </c>
      <c r="F25" s="153">
        <f>E25*D25</f>
        <v>136500</v>
      </c>
    </row>
    <row r="26" spans="1:6" ht="84" x14ac:dyDescent="0.25">
      <c r="A26" s="150" t="s">
        <v>18</v>
      </c>
      <c r="B26" s="175" t="s">
        <v>358</v>
      </c>
      <c r="C26" s="151" t="s">
        <v>33</v>
      </c>
      <c r="D26" s="152">
        <v>1</v>
      </c>
      <c r="E26" s="153">
        <v>1100000</v>
      </c>
      <c r="F26" s="153">
        <f>D26*E26</f>
        <v>1100000</v>
      </c>
    </row>
    <row r="27" spans="1:6" ht="24" x14ac:dyDescent="0.25">
      <c r="A27" s="166">
        <v>5</v>
      </c>
      <c r="B27" s="167" t="s">
        <v>359</v>
      </c>
      <c r="C27" s="167"/>
      <c r="D27" s="174"/>
      <c r="E27" s="167"/>
      <c r="F27" s="167"/>
    </row>
    <row r="28" spans="1:6" x14ac:dyDescent="0.25">
      <c r="A28" s="150" t="s">
        <v>20</v>
      </c>
      <c r="B28" s="175" t="s">
        <v>360</v>
      </c>
      <c r="C28" s="151" t="s">
        <v>342</v>
      </c>
      <c r="D28" s="152">
        <v>40</v>
      </c>
      <c r="E28" s="153">
        <v>21000</v>
      </c>
      <c r="F28" s="153">
        <f>D28*E28</f>
        <v>840000</v>
      </c>
    </row>
    <row r="29" spans="1:6" x14ac:dyDescent="0.25">
      <c r="A29" s="150" t="s">
        <v>21</v>
      </c>
      <c r="B29" s="175" t="s">
        <v>361</v>
      </c>
      <c r="C29" s="151" t="s">
        <v>11</v>
      </c>
      <c r="D29" s="152">
        <v>300</v>
      </c>
      <c r="E29" s="153">
        <v>2200</v>
      </c>
      <c r="F29" s="153">
        <f>D29*E29</f>
        <v>660000</v>
      </c>
    </row>
    <row r="30" spans="1:6" x14ac:dyDescent="0.25">
      <c r="A30" s="150" t="s">
        <v>22</v>
      </c>
      <c r="B30" s="175" t="s">
        <v>362</v>
      </c>
      <c r="C30" s="151" t="s">
        <v>342</v>
      </c>
      <c r="D30" s="152">
        <v>10</v>
      </c>
      <c r="E30" s="153">
        <v>62500</v>
      </c>
      <c r="F30" s="153">
        <f>D30*E30</f>
        <v>625000</v>
      </c>
    </row>
    <row r="31" spans="1:6" x14ac:dyDescent="0.25">
      <c r="A31" s="150" t="s">
        <v>392</v>
      </c>
      <c r="B31" s="175" t="s">
        <v>363</v>
      </c>
      <c r="C31" s="151" t="s">
        <v>342</v>
      </c>
      <c r="D31" s="152">
        <v>30</v>
      </c>
      <c r="E31" s="153">
        <v>42000</v>
      </c>
      <c r="F31" s="153">
        <f>D31*E31</f>
        <v>1260000</v>
      </c>
    </row>
    <row r="32" spans="1:6" ht="24" x14ac:dyDescent="0.25">
      <c r="A32" s="150" t="s">
        <v>393</v>
      </c>
      <c r="B32" s="175" t="s">
        <v>364</v>
      </c>
      <c r="C32" s="151" t="s">
        <v>365</v>
      </c>
      <c r="D32" s="152">
        <v>2</v>
      </c>
      <c r="E32" s="153">
        <v>618668.52100840257</v>
      </c>
      <c r="F32" s="153">
        <f>D32*E32</f>
        <v>1237337.0420168051</v>
      </c>
    </row>
    <row r="33" spans="1:7" x14ac:dyDescent="0.25">
      <c r="A33" s="168">
        <v>6</v>
      </c>
      <c r="B33" s="167" t="s">
        <v>366</v>
      </c>
      <c r="C33" s="167"/>
      <c r="D33" s="174"/>
      <c r="E33" s="167"/>
      <c r="F33" s="167"/>
    </row>
    <row r="34" spans="1:7" x14ac:dyDescent="0.25">
      <c r="A34" s="150" t="s">
        <v>24</v>
      </c>
      <c r="B34" s="175" t="s">
        <v>367</v>
      </c>
      <c r="C34" s="151" t="s">
        <v>9</v>
      </c>
      <c r="D34" s="152">
        <v>30</v>
      </c>
      <c r="E34" s="153">
        <v>4500</v>
      </c>
      <c r="F34" s="153">
        <f>D34*E34</f>
        <v>135000</v>
      </c>
    </row>
    <row r="35" spans="1:7" x14ac:dyDescent="0.25">
      <c r="A35" s="150" t="s">
        <v>394</v>
      </c>
      <c r="B35" s="175" t="s">
        <v>361</v>
      </c>
      <c r="C35" s="151" t="s">
        <v>11</v>
      </c>
      <c r="D35" s="152">
        <v>200</v>
      </c>
      <c r="E35" s="153">
        <v>2500</v>
      </c>
      <c r="F35" s="153">
        <f>D35*E35</f>
        <v>500000</v>
      </c>
    </row>
    <row r="36" spans="1:7" x14ac:dyDescent="0.25">
      <c r="A36" s="150" t="s">
        <v>395</v>
      </c>
      <c r="B36" s="175" t="s">
        <v>368</v>
      </c>
      <c r="C36" s="151" t="s">
        <v>33</v>
      </c>
      <c r="D36" s="152">
        <v>1</v>
      </c>
      <c r="E36" s="153">
        <v>197334</v>
      </c>
      <c r="F36" s="153">
        <f>D36*E36</f>
        <v>197334</v>
      </c>
    </row>
    <row r="37" spans="1:7" ht="24" x14ac:dyDescent="0.25">
      <c r="A37" s="150" t="s">
        <v>152</v>
      </c>
      <c r="B37" s="175" t="s">
        <v>369</v>
      </c>
      <c r="C37" s="151" t="s">
        <v>33</v>
      </c>
      <c r="D37" s="152">
        <v>1</v>
      </c>
      <c r="E37" s="153">
        <v>197334</v>
      </c>
      <c r="F37" s="153">
        <f>D37*E37</f>
        <v>197334</v>
      </c>
    </row>
    <row r="38" spans="1:7" ht="15.75" thickBot="1" x14ac:dyDescent="0.3">
      <c r="A38" s="150" t="s">
        <v>396</v>
      </c>
      <c r="B38" s="175" t="s">
        <v>370</v>
      </c>
      <c r="C38" s="154" t="s">
        <v>9</v>
      </c>
      <c r="D38" s="152">
        <v>200</v>
      </c>
      <c r="E38" s="153">
        <v>4500</v>
      </c>
      <c r="F38" s="153">
        <f>D38*E38</f>
        <v>900000</v>
      </c>
    </row>
    <row r="39" spans="1:7" x14ac:dyDescent="0.25">
      <c r="A39" s="166">
        <v>7</v>
      </c>
      <c r="B39" s="167" t="s">
        <v>371</v>
      </c>
      <c r="C39" s="167"/>
      <c r="D39" s="167"/>
      <c r="E39" s="167"/>
      <c r="F39" s="167"/>
    </row>
    <row r="40" spans="1:7" ht="36" x14ac:dyDescent="0.25">
      <c r="A40" s="150" t="s">
        <v>25</v>
      </c>
      <c r="B40" s="175" t="s">
        <v>372</v>
      </c>
      <c r="C40" s="151" t="s">
        <v>9</v>
      </c>
      <c r="D40" s="152">
        <v>100</v>
      </c>
      <c r="E40" s="153">
        <v>2200</v>
      </c>
      <c r="F40" s="155">
        <f>D40*E40</f>
        <v>220000</v>
      </c>
    </row>
    <row r="41" spans="1:7" x14ac:dyDescent="0.25">
      <c r="A41" s="150" t="s">
        <v>26</v>
      </c>
      <c r="B41" s="175" t="s">
        <v>373</v>
      </c>
      <c r="C41" s="151" t="s">
        <v>342</v>
      </c>
      <c r="D41" s="152">
        <v>20</v>
      </c>
      <c r="E41" s="153">
        <v>21000</v>
      </c>
      <c r="F41" s="155">
        <f>D41*E41</f>
        <v>420000</v>
      </c>
    </row>
    <row r="42" spans="1:7" x14ac:dyDescent="0.25">
      <c r="A42" s="150" t="s">
        <v>27</v>
      </c>
      <c r="B42" s="175" t="s">
        <v>374</v>
      </c>
      <c r="C42" s="151" t="s">
        <v>33</v>
      </c>
      <c r="D42" s="152">
        <v>5</v>
      </c>
      <c r="E42" s="153">
        <v>120000</v>
      </c>
      <c r="F42" s="155">
        <f>D42*E42</f>
        <v>600000</v>
      </c>
    </row>
    <row r="43" spans="1:7" ht="36.75" thickBot="1" x14ac:dyDescent="0.3">
      <c r="A43" s="150" t="s">
        <v>28</v>
      </c>
      <c r="B43" s="175" t="s">
        <v>341</v>
      </c>
      <c r="C43" s="169" t="s">
        <v>357</v>
      </c>
      <c r="D43" s="170">
        <v>20</v>
      </c>
      <c r="E43" s="171">
        <v>5500</v>
      </c>
      <c r="F43" s="172">
        <f>E43*D43</f>
        <v>110000</v>
      </c>
    </row>
    <row r="44" spans="1:7" ht="15.75" thickBot="1" x14ac:dyDescent="0.3">
      <c r="A44" s="208" t="s">
        <v>381</v>
      </c>
      <c r="B44" s="209"/>
      <c r="C44" s="209"/>
      <c r="D44" s="209"/>
      <c r="E44" s="173"/>
      <c r="F44" s="177">
        <f>SUM(F10:F43)</f>
        <v>15930505.042016804</v>
      </c>
      <c r="G44" s="68"/>
    </row>
    <row r="45" spans="1:7" ht="15.75" thickBot="1" x14ac:dyDescent="0.3">
      <c r="A45" s="208" t="s">
        <v>382</v>
      </c>
      <c r="B45" s="209"/>
      <c r="C45" s="209"/>
      <c r="D45" s="209"/>
      <c r="E45" s="176">
        <v>0.19</v>
      </c>
      <c r="F45" s="177">
        <f>+F44*E45</f>
        <v>3026795.957983193</v>
      </c>
    </row>
    <row r="46" spans="1:7" ht="15.75" thickBot="1" x14ac:dyDescent="0.3">
      <c r="A46" s="208" t="s">
        <v>383</v>
      </c>
      <c r="B46" s="209"/>
      <c r="C46" s="209"/>
      <c r="D46" s="209"/>
      <c r="E46" s="173"/>
      <c r="F46" s="177">
        <f>+F44+F45</f>
        <v>18957300.999999996</v>
      </c>
    </row>
  </sheetData>
  <mergeCells count="4">
    <mergeCell ref="B6:F6"/>
    <mergeCell ref="A44:D44"/>
    <mergeCell ref="A45:D45"/>
    <mergeCell ref="A46:D46"/>
  </mergeCells>
  <phoneticPr fontId="10"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46" workbookViewId="0">
      <selection activeCell="E7" sqref="E7"/>
    </sheetView>
  </sheetViews>
  <sheetFormatPr baseColWidth="10" defaultRowHeight="15" x14ac:dyDescent="0.25"/>
  <cols>
    <col min="1" max="1" width="15.42578125" customWidth="1"/>
    <col min="2" max="2" width="27.7109375" customWidth="1"/>
    <col min="3" max="3" width="17.85546875" customWidth="1"/>
    <col min="4" max="4" width="15.5703125" customWidth="1"/>
    <col min="5" max="5" width="15.140625" customWidth="1"/>
    <col min="7" max="7" width="13.5703125" customWidth="1"/>
    <col min="8" max="8" width="12.5703125" bestFit="1" customWidth="1"/>
  </cols>
  <sheetData>
    <row r="1" spans="1:7" x14ac:dyDescent="0.25">
      <c r="A1" s="34"/>
      <c r="B1" s="34" t="s">
        <v>61</v>
      </c>
      <c r="C1" s="34"/>
      <c r="D1" s="34"/>
      <c r="E1" s="35">
        <v>2023</v>
      </c>
      <c r="F1" s="36"/>
    </row>
    <row r="2" spans="1:7" x14ac:dyDescent="0.25">
      <c r="A2" s="34"/>
      <c r="B2" s="34"/>
      <c r="C2" s="34"/>
      <c r="D2" s="36"/>
      <c r="E2" s="36"/>
      <c r="F2" s="36"/>
    </row>
    <row r="3" spans="1:7" x14ac:dyDescent="0.25">
      <c r="A3" s="34"/>
      <c r="B3" s="34" t="s">
        <v>62</v>
      </c>
      <c r="C3" s="34"/>
      <c r="D3" s="36"/>
      <c r="E3" s="36"/>
      <c r="F3" s="36"/>
    </row>
    <row r="4" spans="1:7" x14ac:dyDescent="0.25">
      <c r="A4" s="34"/>
      <c r="B4" s="34"/>
      <c r="C4" s="34"/>
      <c r="D4" s="36"/>
      <c r="E4" s="36"/>
      <c r="F4" s="36"/>
    </row>
    <row r="5" spans="1:7" x14ac:dyDescent="0.25">
      <c r="A5" s="34"/>
      <c r="B5" s="34" t="s">
        <v>63</v>
      </c>
      <c r="C5" s="34"/>
      <c r="D5" s="36"/>
      <c r="E5" s="36"/>
      <c r="F5" s="36"/>
    </row>
    <row r="6" spans="1:7" x14ac:dyDescent="0.25">
      <c r="A6" s="34"/>
      <c r="B6" s="34" t="s">
        <v>64</v>
      </c>
      <c r="C6" s="34"/>
      <c r="E6" s="36">
        <f>365*(0.363636363636364)</f>
        <v>132.72727272727286</v>
      </c>
      <c r="F6" s="36" t="s">
        <v>65</v>
      </c>
      <c r="G6" s="37">
        <f>365*(0.363636363636364)/100</f>
        <v>1.3272727272727287</v>
      </c>
    </row>
    <row r="7" spans="1:7" x14ac:dyDescent="0.25">
      <c r="A7" s="34"/>
      <c r="B7" s="34"/>
      <c r="C7" s="34"/>
      <c r="E7" s="36"/>
      <c r="F7" s="36"/>
      <c r="G7" s="36"/>
    </row>
    <row r="8" spans="1:7" x14ac:dyDescent="0.25">
      <c r="A8" s="34"/>
      <c r="B8" s="34" t="s">
        <v>66</v>
      </c>
      <c r="C8" s="34"/>
      <c r="E8" s="36">
        <f>SUM(E9:E12)</f>
        <v>31.025454545454576</v>
      </c>
      <c r="F8" s="36" t="s">
        <v>65</v>
      </c>
      <c r="G8" s="37">
        <f>SUM(G9:G12)</f>
        <v>0.31025454545454567</v>
      </c>
    </row>
    <row r="9" spans="1:7" x14ac:dyDescent="0.25">
      <c r="A9" s="34"/>
      <c r="B9" s="34" t="s">
        <v>67</v>
      </c>
      <c r="C9" s="34"/>
      <c r="E9" s="36">
        <f>3*12*(0.363636363636364)</f>
        <v>13.090909090909104</v>
      </c>
      <c r="F9" s="36" t="s">
        <v>65</v>
      </c>
      <c r="G9" s="37">
        <f>3*12*(0.363636363636364)/100</f>
        <v>0.13090909090909103</v>
      </c>
    </row>
    <row r="10" spans="1:7" x14ac:dyDescent="0.25">
      <c r="A10" s="34"/>
      <c r="B10" s="34" t="s">
        <v>68</v>
      </c>
      <c r="C10" s="34"/>
      <c r="E10" s="36">
        <f>+E9*0.12</f>
        <v>1.5709090909090924</v>
      </c>
      <c r="F10" s="36" t="s">
        <v>65</v>
      </c>
      <c r="G10" s="38">
        <f>(+G9*12)/100</f>
        <v>1.5709090909090923E-2</v>
      </c>
    </row>
    <row r="11" spans="1:7" x14ac:dyDescent="0.25">
      <c r="A11" s="34"/>
      <c r="B11" s="34" t="s">
        <v>69</v>
      </c>
      <c r="C11" s="34"/>
      <c r="E11" s="36">
        <f>30*(0.363636363636364)</f>
        <v>10.909090909090919</v>
      </c>
      <c r="F11" s="36" t="s">
        <v>65</v>
      </c>
      <c r="G11" s="37">
        <f>30*(0.363636363636364)/100</f>
        <v>0.10909090909090918</v>
      </c>
    </row>
    <row r="12" spans="1:7" x14ac:dyDescent="0.25">
      <c r="A12" s="34"/>
      <c r="B12" s="34" t="s">
        <v>70</v>
      </c>
      <c r="C12" s="34"/>
      <c r="E12" s="36">
        <f>5*1*3*(0.363636363636364)</f>
        <v>5.4545454545454595</v>
      </c>
      <c r="F12" s="36" t="s">
        <v>65</v>
      </c>
      <c r="G12" s="37">
        <f>5*1*3*(0.363636363636364)/100</f>
        <v>5.4545454545454591E-2</v>
      </c>
    </row>
    <row r="13" spans="1:7" x14ac:dyDescent="0.25">
      <c r="A13" s="34"/>
      <c r="B13" s="34" t="s">
        <v>71</v>
      </c>
      <c r="C13" s="34"/>
      <c r="E13" s="36">
        <f>SUM(E14:E20)</f>
        <v>51.246000000000031</v>
      </c>
      <c r="F13" s="36" t="s">
        <v>65</v>
      </c>
      <c r="G13" s="37">
        <f>SUM(G14:G20)</f>
        <v>0.51246000000000014</v>
      </c>
    </row>
    <row r="14" spans="1:7" x14ac:dyDescent="0.25">
      <c r="A14" s="34"/>
      <c r="B14" s="34" t="s">
        <v>72</v>
      </c>
      <c r="C14" s="34"/>
      <c r="E14" s="39">
        <f>12*(365/275)</f>
        <v>15.927272727272729</v>
      </c>
      <c r="F14" s="36" t="s">
        <v>65</v>
      </c>
      <c r="G14" s="37">
        <f>12*(365/275)/100</f>
        <v>0.15927272727272729</v>
      </c>
    </row>
    <row r="15" spans="1:7" x14ac:dyDescent="0.25">
      <c r="A15" s="34"/>
      <c r="B15" s="34" t="s">
        <v>73</v>
      </c>
      <c r="C15" s="34"/>
      <c r="E15" s="36">
        <f>8.81*(365/275)</f>
        <v>11.693272727272729</v>
      </c>
      <c r="F15" s="36" t="s">
        <v>65</v>
      </c>
      <c r="G15" s="37">
        <f>8.81*(365/275)/100</f>
        <v>0.1169327272727273</v>
      </c>
    </row>
    <row r="16" spans="1:7" x14ac:dyDescent="0.25">
      <c r="A16" s="34"/>
      <c r="B16" s="34" t="s">
        <v>74</v>
      </c>
      <c r="C16" s="34"/>
      <c r="E16" s="36">
        <f>6.3*(1.32727272727273)</f>
        <v>8.3618181818181991</v>
      </c>
      <c r="F16" s="36" t="s">
        <v>65</v>
      </c>
      <c r="G16" s="37">
        <f>6.3*(1.32727272727273)/100</f>
        <v>8.3618181818181994E-2</v>
      </c>
    </row>
    <row r="17" spans="1:7" x14ac:dyDescent="0.25">
      <c r="A17" s="34"/>
      <c r="B17" s="34" t="s">
        <v>75</v>
      </c>
      <c r="C17" s="34"/>
      <c r="E17" s="36">
        <f>2*(365/275)</f>
        <v>2.6545454545454548</v>
      </c>
      <c r="F17" s="36" t="s">
        <v>65</v>
      </c>
      <c r="G17" s="37">
        <f>2*(365/275)/100</f>
        <v>2.6545454545454549E-2</v>
      </c>
    </row>
    <row r="18" spans="1:7" x14ac:dyDescent="0.25">
      <c r="A18" s="34"/>
      <c r="B18" s="34" t="s">
        <v>76</v>
      </c>
      <c r="C18" s="34"/>
      <c r="E18" s="36">
        <f>3*(365/275)</f>
        <v>3.9818181818181824</v>
      </c>
      <c r="F18" s="36" t="s">
        <v>65</v>
      </c>
      <c r="G18" s="37">
        <f>3*(365/275)/100</f>
        <v>3.9818181818181822E-2</v>
      </c>
    </row>
    <row r="19" spans="1:7" x14ac:dyDescent="0.25">
      <c r="A19" s="34"/>
      <c r="B19" s="34" t="s">
        <v>77</v>
      </c>
      <c r="C19" s="34"/>
      <c r="E19" s="36">
        <f>4*(365/275)</f>
        <v>5.3090909090909095</v>
      </c>
      <c r="F19" s="36" t="s">
        <v>65</v>
      </c>
      <c r="G19" s="37">
        <f>4*(365/275)/100</f>
        <v>5.3090909090909098E-2</v>
      </c>
    </row>
    <row r="20" spans="1:7" x14ac:dyDescent="0.25">
      <c r="A20" s="34"/>
      <c r="B20" s="34" t="s">
        <v>78</v>
      </c>
      <c r="C20" s="34"/>
      <c r="E20" s="36">
        <f>+(365/40)*(100/275)</f>
        <v>3.3181818181818183</v>
      </c>
      <c r="F20" s="36" t="s">
        <v>65</v>
      </c>
      <c r="G20" s="37">
        <f>+(365/40)*(100/275)/100</f>
        <v>3.318181818181818E-2</v>
      </c>
    </row>
    <row r="21" spans="1:7" x14ac:dyDescent="0.25">
      <c r="A21" s="34"/>
      <c r="B21" s="34" t="s">
        <v>79</v>
      </c>
      <c r="C21" s="34"/>
      <c r="E21" s="36">
        <f>SUM(E22:E24)</f>
        <v>16.274545454545457</v>
      </c>
      <c r="F21" s="36" t="s">
        <v>65</v>
      </c>
      <c r="G21" s="37">
        <f>SUM(G22:G24)</f>
        <v>0.16274545454545455</v>
      </c>
    </row>
    <row r="22" spans="1:7" x14ac:dyDescent="0.25">
      <c r="A22" s="34"/>
      <c r="B22" s="34" t="s">
        <v>80</v>
      </c>
      <c r="C22" s="34"/>
      <c r="E22" s="36">
        <f>11.9*(365/275)</f>
        <v>15.794545454545457</v>
      </c>
      <c r="F22" s="36" t="s">
        <v>65</v>
      </c>
      <c r="G22" s="37">
        <f>11.9*(365/275)/100</f>
        <v>0.15794545454545456</v>
      </c>
    </row>
    <row r="23" spans="1:7" x14ac:dyDescent="0.25">
      <c r="A23" s="34"/>
      <c r="B23" s="34" t="s">
        <v>81</v>
      </c>
      <c r="C23" s="34"/>
      <c r="E23" s="36">
        <v>0.2</v>
      </c>
      <c r="F23" s="36" t="s">
        <v>65</v>
      </c>
      <c r="G23" s="37">
        <f>0.2/100</f>
        <v>2E-3</v>
      </c>
    </row>
    <row r="24" spans="1:7" x14ac:dyDescent="0.25">
      <c r="A24" s="34"/>
      <c r="B24" s="34" t="s">
        <v>82</v>
      </c>
      <c r="C24" s="34"/>
      <c r="E24" s="36">
        <v>0.28000000000000003</v>
      </c>
      <c r="F24" s="36" t="s">
        <v>65</v>
      </c>
      <c r="G24" s="37">
        <f>0.28/100</f>
        <v>2.8000000000000004E-3</v>
      </c>
    </row>
    <row r="25" spans="1:7" x14ac:dyDescent="0.25">
      <c r="A25" s="34"/>
      <c r="B25" s="34" t="s">
        <v>83</v>
      </c>
      <c r="C25" s="34"/>
      <c r="E25" s="36">
        <f>+E21+E13+E8+E6</f>
        <v>231.27327272727291</v>
      </c>
      <c r="F25" s="36" t="s">
        <v>65</v>
      </c>
      <c r="G25" s="36">
        <f>+G21+G13+G8+G6</f>
        <v>2.3127327272727292</v>
      </c>
    </row>
    <row r="26" spans="1:7" x14ac:dyDescent="0.25">
      <c r="A26" s="34"/>
      <c r="B26" s="34"/>
      <c r="C26" s="34"/>
      <c r="D26" s="36"/>
      <c r="E26" s="36"/>
      <c r="F26" s="36"/>
    </row>
    <row r="27" spans="1:7" x14ac:dyDescent="0.25">
      <c r="A27" s="34"/>
      <c r="B27" s="34"/>
      <c r="C27" s="34"/>
      <c r="D27" s="36"/>
      <c r="E27" s="36"/>
      <c r="F27" s="36"/>
    </row>
    <row r="28" spans="1:7" x14ac:dyDescent="0.25">
      <c r="A28" s="34"/>
      <c r="B28" s="34" t="s">
        <v>84</v>
      </c>
      <c r="C28" s="40">
        <v>1160000</v>
      </c>
      <c r="D28" s="41"/>
      <c r="E28" s="36">
        <f>+C28</f>
        <v>1160000</v>
      </c>
      <c r="F28" s="36"/>
      <c r="G28" s="36">
        <f>((+E28*F28)+E28)</f>
        <v>1160000</v>
      </c>
    </row>
    <row r="29" spans="1:7" x14ac:dyDescent="0.25">
      <c r="A29" s="34"/>
      <c r="B29" s="36" t="s">
        <v>85</v>
      </c>
      <c r="C29" s="34"/>
      <c r="D29" s="36"/>
      <c r="E29" s="36"/>
      <c r="F29" s="36"/>
      <c r="G29" s="36">
        <f>ROUND((+G28/30),0)</f>
        <v>38667</v>
      </c>
    </row>
    <row r="30" spans="1:7" x14ac:dyDescent="0.25">
      <c r="A30" s="34"/>
      <c r="B30" s="36" t="s">
        <v>86</v>
      </c>
      <c r="C30" s="36"/>
      <c r="D30" s="36"/>
      <c r="E30" s="36">
        <f>ROUND((+E28*E25/(100*30)),0)</f>
        <v>89426</v>
      </c>
      <c r="F30" s="36"/>
    </row>
    <row r="31" spans="1:7" x14ac:dyDescent="0.25">
      <c r="A31" s="34"/>
      <c r="B31" s="34"/>
      <c r="C31" s="34"/>
      <c r="D31" s="36"/>
      <c r="E31" s="36"/>
      <c r="F31" s="36"/>
    </row>
    <row r="32" spans="1:7" x14ac:dyDescent="0.25">
      <c r="A32" s="34"/>
      <c r="B32" s="34"/>
      <c r="C32" s="34"/>
      <c r="D32" s="36"/>
      <c r="E32" s="36"/>
      <c r="F32" s="36"/>
    </row>
    <row r="33" spans="1:7" x14ac:dyDescent="0.25">
      <c r="A33" s="34"/>
      <c r="B33" s="34" t="s">
        <v>87</v>
      </c>
      <c r="C33" s="34"/>
      <c r="D33" s="34" t="s">
        <v>88</v>
      </c>
      <c r="E33" s="36">
        <f>+E30</f>
        <v>89426</v>
      </c>
      <c r="F33" s="35"/>
      <c r="G33" s="36">
        <f>+G29</f>
        <v>38667</v>
      </c>
    </row>
    <row r="34" spans="1:7" x14ac:dyDescent="0.25">
      <c r="A34" s="34"/>
      <c r="B34" s="34" t="s">
        <v>89</v>
      </c>
      <c r="C34" s="34"/>
      <c r="D34" s="34" t="s">
        <v>88</v>
      </c>
      <c r="E34" s="36">
        <f>ROUND((+E33*1.2),0)</f>
        <v>107311</v>
      </c>
      <c r="F34" s="35"/>
      <c r="G34" s="36">
        <f>ROUND((+G33*1.2),0)</f>
        <v>46400</v>
      </c>
    </row>
    <row r="35" spans="1:7" x14ac:dyDescent="0.25">
      <c r="A35" s="34"/>
      <c r="B35" s="34" t="s">
        <v>90</v>
      </c>
      <c r="C35" s="34"/>
      <c r="D35" s="34" t="s">
        <v>88</v>
      </c>
      <c r="E35" s="36">
        <f>ROUND((+E33*1.5),0)</f>
        <v>134139</v>
      </c>
      <c r="F35" s="35"/>
      <c r="G35" s="36">
        <f>ROUND((+G33*1.5),0)</f>
        <v>58001</v>
      </c>
    </row>
    <row r="36" spans="1:7" x14ac:dyDescent="0.25">
      <c r="A36" s="34"/>
      <c r="B36" s="34" t="s">
        <v>91</v>
      </c>
      <c r="C36" s="34"/>
      <c r="D36" s="34" t="s">
        <v>88</v>
      </c>
      <c r="E36" s="36">
        <f>+E33*2</f>
        <v>178852</v>
      </c>
      <c r="F36" s="35"/>
      <c r="G36" s="36">
        <f>+G33*2</f>
        <v>77334</v>
      </c>
    </row>
    <row r="37" spans="1:7" x14ac:dyDescent="0.25">
      <c r="A37" s="34"/>
      <c r="B37" s="34" t="s">
        <v>92</v>
      </c>
      <c r="C37" s="34"/>
      <c r="D37" s="34" t="s">
        <v>88</v>
      </c>
      <c r="E37" s="36">
        <f>ROUND((+E33*2.5),0)</f>
        <v>223565</v>
      </c>
      <c r="F37" s="35"/>
      <c r="G37" s="36">
        <f>ROUND((+G33*2.5),0)</f>
        <v>96668</v>
      </c>
    </row>
    <row r="38" spans="1:7" x14ac:dyDescent="0.25">
      <c r="A38" s="34"/>
      <c r="B38" s="34" t="s">
        <v>93</v>
      </c>
      <c r="C38" s="34"/>
      <c r="D38" s="34" t="s">
        <v>88</v>
      </c>
      <c r="E38" s="36">
        <f>+E33*3</f>
        <v>268278</v>
      </c>
      <c r="F38" s="35"/>
      <c r="G38" s="36">
        <f>+G33*3</f>
        <v>116001</v>
      </c>
    </row>
    <row r="39" spans="1:7" x14ac:dyDescent="0.25">
      <c r="A39" s="34"/>
      <c r="B39" s="34" t="s">
        <v>94</v>
      </c>
      <c r="C39" s="34"/>
      <c r="D39" s="34" t="s">
        <v>88</v>
      </c>
      <c r="E39" s="36">
        <f>+E33</f>
        <v>89426</v>
      </c>
      <c r="F39" s="35"/>
      <c r="G39" s="36">
        <f>+G33</f>
        <v>38667</v>
      </c>
    </row>
    <row r="40" spans="1:7" x14ac:dyDescent="0.25">
      <c r="A40" s="34"/>
      <c r="B40" s="34" t="s">
        <v>95</v>
      </c>
      <c r="C40" s="34"/>
      <c r="D40" s="34" t="s">
        <v>88</v>
      </c>
      <c r="E40" s="36">
        <f>+E33*2</f>
        <v>178852</v>
      </c>
      <c r="F40" s="35"/>
      <c r="G40" s="36">
        <f>+G33*2</f>
        <v>77334</v>
      </c>
    </row>
    <row r="41" spans="1:7" x14ac:dyDescent="0.25">
      <c r="A41" s="34"/>
      <c r="B41" s="34" t="s">
        <v>107</v>
      </c>
      <c r="C41" s="34"/>
      <c r="D41" s="34" t="s">
        <v>88</v>
      </c>
      <c r="E41" s="36">
        <f>+E33*3</f>
        <v>268278</v>
      </c>
      <c r="F41" s="35"/>
      <c r="G41" s="36">
        <f>+G33*10</f>
        <v>386670</v>
      </c>
    </row>
    <row r="42" spans="1:7" x14ac:dyDescent="0.25">
      <c r="A42" s="34"/>
      <c r="B42" s="34" t="s">
        <v>96</v>
      </c>
      <c r="C42" s="34"/>
      <c r="D42" s="34" t="s">
        <v>88</v>
      </c>
      <c r="E42" s="36">
        <f>+E35</f>
        <v>134139</v>
      </c>
      <c r="F42" s="35"/>
      <c r="G42" s="36">
        <f>+G35</f>
        <v>58001</v>
      </c>
    </row>
    <row r="43" spans="1:7" x14ac:dyDescent="0.25">
      <c r="A43" s="34"/>
      <c r="B43" s="34" t="s">
        <v>97</v>
      </c>
      <c r="C43" s="34"/>
      <c r="D43" s="34" t="s">
        <v>88</v>
      </c>
      <c r="E43" s="36">
        <f>+(($E$33*1)+($E$35)*1)</f>
        <v>223565</v>
      </c>
      <c r="F43" s="35"/>
      <c r="G43" s="36">
        <f>+(($G$33*1)+($G$35)*1)</f>
        <v>96668</v>
      </c>
    </row>
    <row r="44" spans="1:7" x14ac:dyDescent="0.25">
      <c r="A44" s="34"/>
      <c r="B44" s="34" t="s">
        <v>98</v>
      </c>
      <c r="C44" s="34"/>
      <c r="D44" s="34" t="s">
        <v>88</v>
      </c>
      <c r="E44" s="36">
        <f>+(($E$33*2)+($E$35)*1)</f>
        <v>312991</v>
      </c>
      <c r="F44" s="35"/>
      <c r="G44" s="36">
        <f>+(($G$33*1)+($G$35)*2)</f>
        <v>154669</v>
      </c>
    </row>
    <row r="45" spans="1:7" x14ac:dyDescent="0.25">
      <c r="A45" s="34"/>
      <c r="B45" s="34" t="s">
        <v>99</v>
      </c>
      <c r="C45" s="34"/>
      <c r="D45" s="34" t="s">
        <v>88</v>
      </c>
      <c r="E45" s="36">
        <f>+(($E$33*3)+($E$35)*1)</f>
        <v>402417</v>
      </c>
      <c r="F45" s="35"/>
      <c r="G45" s="36">
        <f>+(($G$33*3)+($G$35)*1)</f>
        <v>174002</v>
      </c>
    </row>
    <row r="46" spans="1:7" x14ac:dyDescent="0.25">
      <c r="A46" s="34"/>
      <c r="B46" s="34" t="s">
        <v>100</v>
      </c>
      <c r="C46" s="34"/>
      <c r="D46" s="34" t="s">
        <v>88</v>
      </c>
      <c r="E46" s="36">
        <f>+(($E$33*4)+($E$35)*1)</f>
        <v>491843</v>
      </c>
      <c r="F46" s="35"/>
      <c r="G46" s="36">
        <f>+(($G$33*4)+($G$35)*1)</f>
        <v>212669</v>
      </c>
    </row>
    <row r="47" spans="1:7" x14ac:dyDescent="0.25">
      <c r="A47" s="34"/>
      <c r="B47" s="34" t="s">
        <v>101</v>
      </c>
      <c r="C47" s="34"/>
      <c r="D47" s="34" t="s">
        <v>88</v>
      </c>
      <c r="E47" s="36">
        <f>+(($E$33*5)+($E$35)*1)</f>
        <v>581269</v>
      </c>
      <c r="F47" s="35"/>
      <c r="G47" s="36">
        <f>+(($G$33*5)+($G$35)*1)</f>
        <v>251336</v>
      </c>
    </row>
    <row r="48" spans="1:7" x14ac:dyDescent="0.25">
      <c r="A48" s="34"/>
      <c r="B48" s="34" t="s">
        <v>102</v>
      </c>
      <c r="C48" s="34"/>
      <c r="D48" s="34" t="s">
        <v>88</v>
      </c>
      <c r="E48" s="36">
        <f>+(($E$33*1)+($E$35)*2)</f>
        <v>357704</v>
      </c>
      <c r="F48" s="35"/>
      <c r="G48" s="36">
        <f>+(($G$33*1)+($G$35)*2)</f>
        <v>154669</v>
      </c>
    </row>
    <row r="49" spans="1:7" x14ac:dyDescent="0.25">
      <c r="A49" s="34"/>
      <c r="B49" s="34" t="s">
        <v>103</v>
      </c>
      <c r="C49" s="34"/>
      <c r="D49" s="34" t="s">
        <v>88</v>
      </c>
      <c r="E49" s="36">
        <f>+(($E$33*2)+($E$35)*2)</f>
        <v>447130</v>
      </c>
      <c r="F49" s="35"/>
      <c r="G49" s="36">
        <f>+(($G$33*2)+($G$35)*2)</f>
        <v>193336</v>
      </c>
    </row>
    <row r="50" spans="1:7" x14ac:dyDescent="0.25">
      <c r="A50" s="34"/>
      <c r="B50" s="34" t="s">
        <v>104</v>
      </c>
      <c r="C50" s="34"/>
      <c r="D50" s="34" t="s">
        <v>88</v>
      </c>
      <c r="E50" s="36">
        <f>+(($E$33*2)+($E$35)*3)</f>
        <v>581269</v>
      </c>
      <c r="F50" s="35"/>
      <c r="G50" s="36">
        <f>+(($G$33*3)+($G$35)*2)</f>
        <v>232003</v>
      </c>
    </row>
    <row r="51" spans="1:7" x14ac:dyDescent="0.25">
      <c r="A51" s="34"/>
      <c r="B51" s="34" t="s">
        <v>105</v>
      </c>
      <c r="C51" s="34"/>
      <c r="D51" s="34" t="s">
        <v>88</v>
      </c>
      <c r="E51" s="36">
        <f>((+E34*2)+(E39*1)+(E38*2))</f>
        <v>840604</v>
      </c>
      <c r="F51" s="35"/>
      <c r="G51" s="36">
        <f>((+G34*3)+(G39*1)+(G38*2))</f>
        <v>409869</v>
      </c>
    </row>
    <row r="52" spans="1:7" x14ac:dyDescent="0.25">
      <c r="A52" s="34"/>
      <c r="B52" s="34" t="s">
        <v>115</v>
      </c>
      <c r="C52" s="34"/>
      <c r="D52" s="36" t="s">
        <v>114</v>
      </c>
      <c r="E52" s="36">
        <f>+(($E$33*3)+($E$37)*1)</f>
        <v>491843</v>
      </c>
      <c r="F52" s="36"/>
    </row>
    <row r="53" spans="1:7" x14ac:dyDescent="0.25">
      <c r="A53" s="34"/>
      <c r="B53" s="34" t="s">
        <v>117</v>
      </c>
      <c r="C53" s="34"/>
      <c r="D53" s="36" t="s">
        <v>118</v>
      </c>
      <c r="E53" s="36">
        <f>+(($E$33*2)+($E$37)*1)</f>
        <v>402417</v>
      </c>
      <c r="F53" s="36"/>
    </row>
    <row r="54" spans="1:7" x14ac:dyDescent="0.25">
      <c r="A54" s="34"/>
      <c r="B54" s="34" t="s">
        <v>106</v>
      </c>
      <c r="C54" s="34"/>
      <c r="E54" s="36">
        <v>150000</v>
      </c>
      <c r="F54" s="36"/>
    </row>
    <row r="55" spans="1:7" x14ac:dyDescent="0.25">
      <c r="A55" s="34"/>
      <c r="B55" s="34" t="s">
        <v>106</v>
      </c>
      <c r="C55" s="34"/>
      <c r="E55" s="36">
        <f>+E54*5</f>
        <v>750000</v>
      </c>
      <c r="F55" s="36"/>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3"/>
  <sheetViews>
    <sheetView topLeftCell="A25" workbookViewId="0">
      <selection activeCell="G14" sqref="G14"/>
    </sheetView>
  </sheetViews>
  <sheetFormatPr baseColWidth="10" defaultRowHeight="15" x14ac:dyDescent="0.25"/>
  <cols>
    <col min="1" max="1" width="15.42578125" customWidth="1"/>
    <col min="2" max="2" width="16.140625" customWidth="1"/>
    <col min="3" max="3" width="15" customWidth="1"/>
    <col min="5" max="5" width="15.140625" customWidth="1"/>
    <col min="7"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88.5" customHeight="1" x14ac:dyDescent="0.25">
      <c r="A7" s="15" t="s">
        <v>6</v>
      </c>
      <c r="B7" s="235" t="str">
        <f>+TABACAL!B5</f>
        <v>Instalación de CERRAMIENTO PROVISIONAL en malla tipo zaran, con una altura de 2,10 m, estacones de madera común para fijación vertical de altura de 2 m, como elemento de aislamiento de las zonas de las obras, para protección de los usuarios y funcionarios de la sede principal y sede alterna del hospital.</v>
      </c>
      <c r="C7" s="235"/>
      <c r="D7" s="235"/>
      <c r="E7" s="235"/>
      <c r="F7" s="16" t="str">
        <f>+TABACAL!$C$5</f>
        <v>ml</v>
      </c>
      <c r="G7" s="53">
        <f>+TABACAL!$D$5</f>
        <v>143</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c r="B12" s="220"/>
      <c r="C12" s="220"/>
      <c r="D12" s="220"/>
      <c r="E12" s="20"/>
      <c r="F12" s="21"/>
      <c r="G12" s="22"/>
    </row>
    <row r="13" spans="1:7" x14ac:dyDescent="0.25">
      <c r="A13" s="219" t="s">
        <v>60</v>
      </c>
      <c r="B13" s="220"/>
      <c r="C13" s="220"/>
      <c r="D13" s="220"/>
      <c r="E13" s="20"/>
      <c r="F13" s="21"/>
      <c r="G13" s="22">
        <f>0.05*G25</f>
        <v>447.13000000000005</v>
      </c>
    </row>
    <row r="14" spans="1:7" ht="15.75" thickBot="1" x14ac:dyDescent="0.3">
      <c r="A14" s="23"/>
      <c r="F14" s="21" t="s">
        <v>45</v>
      </c>
      <c r="G14" s="22">
        <f>SUM(G12:G13)</f>
        <v>447.13000000000005</v>
      </c>
    </row>
    <row r="15" spans="1:7" ht="15.75" thickBot="1" x14ac:dyDescent="0.3">
      <c r="A15" s="231" t="s">
        <v>46</v>
      </c>
      <c r="B15" s="232"/>
      <c r="C15" s="225"/>
      <c r="D15" s="225"/>
      <c r="E15" s="225"/>
      <c r="F15" s="225"/>
      <c r="G15" s="226"/>
    </row>
    <row r="16" spans="1:7" ht="15.75" thickBot="1" x14ac:dyDescent="0.3">
      <c r="A16" s="215" t="s">
        <v>37</v>
      </c>
      <c r="B16" s="216"/>
      <c r="C16" s="216"/>
      <c r="D16" s="13" t="s">
        <v>47</v>
      </c>
      <c r="E16" s="13" t="s">
        <v>3</v>
      </c>
      <c r="F16" s="13" t="s">
        <v>48</v>
      </c>
      <c r="G16" s="14" t="s">
        <v>44</v>
      </c>
    </row>
    <row r="17" spans="1:7" x14ac:dyDescent="0.25">
      <c r="A17" s="217" t="s">
        <v>195</v>
      </c>
      <c r="B17" s="218"/>
      <c r="C17" s="218"/>
      <c r="D17" s="24" t="s">
        <v>19</v>
      </c>
      <c r="E17" s="25">
        <v>1</v>
      </c>
      <c r="F17" s="26">
        <f>193600/25</f>
        <v>7744</v>
      </c>
      <c r="G17" s="27">
        <f>+E17*F17</f>
        <v>7744</v>
      </c>
    </row>
    <row r="18" spans="1:7" x14ac:dyDescent="0.25">
      <c r="A18" s="217" t="s">
        <v>196</v>
      </c>
      <c r="B18" s="218"/>
      <c r="C18" s="218"/>
      <c r="D18" s="24" t="s">
        <v>47</v>
      </c>
      <c r="E18" s="25">
        <v>1</v>
      </c>
      <c r="F18" s="26">
        <v>4702.34</v>
      </c>
      <c r="G18" s="27">
        <f>+E18*F18</f>
        <v>4702.34</v>
      </c>
    </row>
    <row r="19" spans="1:7" x14ac:dyDescent="0.25">
      <c r="A19" s="217" t="s">
        <v>197</v>
      </c>
      <c r="B19" s="218"/>
      <c r="C19" s="218"/>
      <c r="D19" s="24" t="s">
        <v>33</v>
      </c>
      <c r="E19" s="25">
        <v>1</v>
      </c>
      <c r="F19" s="26">
        <v>1803.9300000000003</v>
      </c>
      <c r="G19" s="27">
        <f>+E19*F19</f>
        <v>1803.9300000000003</v>
      </c>
    </row>
    <row r="20" spans="1:7" x14ac:dyDescent="0.25">
      <c r="A20" s="219"/>
      <c r="B20" s="220"/>
      <c r="C20" s="220"/>
      <c r="D20" s="24"/>
      <c r="E20" s="21"/>
      <c r="F20" s="20"/>
      <c r="G20" s="27"/>
    </row>
    <row r="21" spans="1:7" ht="15.75" thickBot="1" x14ac:dyDescent="0.3">
      <c r="A21" s="224"/>
      <c r="B21" s="225"/>
      <c r="C21" s="225"/>
      <c r="F21" s="21" t="s">
        <v>45</v>
      </c>
      <c r="G21" s="28">
        <f>SUM(G17:G20)</f>
        <v>14250.27</v>
      </c>
    </row>
    <row r="22" spans="1:7" ht="15.75" thickBot="1" x14ac:dyDescent="0.3">
      <c r="A22" s="231" t="s">
        <v>49</v>
      </c>
      <c r="B22" s="232"/>
      <c r="C22" s="233"/>
      <c r="D22" s="233"/>
      <c r="E22" s="233"/>
      <c r="F22" s="233"/>
      <c r="G22" s="234"/>
    </row>
    <row r="23" spans="1:7" ht="15.75" thickBot="1" x14ac:dyDescent="0.3">
      <c r="A23" s="215" t="s">
        <v>50</v>
      </c>
      <c r="B23" s="216"/>
      <c r="C23" s="13" t="s">
        <v>51</v>
      </c>
      <c r="D23" s="13" t="s">
        <v>52</v>
      </c>
      <c r="E23" s="13" t="s">
        <v>53</v>
      </c>
      <c r="F23" s="13" t="s">
        <v>54</v>
      </c>
      <c r="G23" s="14" t="s">
        <v>44</v>
      </c>
    </row>
    <row r="24" spans="1:7" x14ac:dyDescent="0.25">
      <c r="A24" s="230" t="str">
        <f>+'insumos-MO'!B40</f>
        <v>Cuadrilla de construcción 0*2</v>
      </c>
      <c r="B24" s="218"/>
      <c r="C24" s="29">
        <f>+'insumos-MO'!E40</f>
        <v>178852</v>
      </c>
      <c r="D24" s="24"/>
      <c r="E24" s="29">
        <f>+C24</f>
        <v>178852</v>
      </c>
      <c r="F24" s="25">
        <v>20</v>
      </c>
      <c r="G24" s="27">
        <f>+E24/F24</f>
        <v>8942.6</v>
      </c>
    </row>
    <row r="25" spans="1:7" ht="15.75" thickBot="1" x14ac:dyDescent="0.3">
      <c r="A25" s="23"/>
      <c r="F25" s="21" t="s">
        <v>45</v>
      </c>
      <c r="G25" s="28">
        <f>SUM(G24)</f>
        <v>8942.6</v>
      </c>
    </row>
    <row r="26" spans="1:7" ht="15.75" thickBot="1" x14ac:dyDescent="0.3">
      <c r="A26" s="213" t="s">
        <v>200</v>
      </c>
      <c r="B26" s="214"/>
      <c r="G26" s="18"/>
    </row>
    <row r="27" spans="1:7" ht="15.75" thickBot="1" x14ac:dyDescent="0.3">
      <c r="A27" s="215" t="s">
        <v>206</v>
      </c>
      <c r="B27" s="216"/>
      <c r="C27" s="30" t="s">
        <v>38</v>
      </c>
      <c r="D27" s="13" t="s">
        <v>39</v>
      </c>
      <c r="E27" s="31"/>
      <c r="F27" s="13" t="s">
        <v>203</v>
      </c>
      <c r="G27" s="14" t="s">
        <v>44</v>
      </c>
    </row>
    <row r="28" spans="1:7" x14ac:dyDescent="0.25">
      <c r="A28" s="217" t="s">
        <v>57</v>
      </c>
      <c r="B28" s="218"/>
      <c r="C28" s="24" t="s">
        <v>204</v>
      </c>
      <c r="D28" s="24">
        <v>1</v>
      </c>
      <c r="E28" s="24"/>
      <c r="F28" s="24">
        <v>500</v>
      </c>
      <c r="G28" s="27">
        <f>+F28</f>
        <v>500</v>
      </c>
    </row>
    <row r="29" spans="1:7" x14ac:dyDescent="0.25">
      <c r="A29" s="219" t="s">
        <v>58</v>
      </c>
      <c r="B29" s="220"/>
      <c r="C29" s="21"/>
      <c r="D29" s="21"/>
      <c r="E29" s="21"/>
      <c r="F29" s="21"/>
      <c r="G29" s="27"/>
    </row>
    <row r="30" spans="1:7" x14ac:dyDescent="0.25">
      <c r="A30" s="221"/>
      <c r="B30" s="222"/>
      <c r="C30" s="222"/>
      <c r="D30" s="222"/>
      <c r="E30" s="223"/>
      <c r="F30" s="21" t="s">
        <v>45</v>
      </c>
      <c r="G30" s="27">
        <f>SUM(G28:G29)</f>
        <v>500</v>
      </c>
    </row>
    <row r="31" spans="1:7" x14ac:dyDescent="0.25">
      <c r="A31" s="224"/>
      <c r="B31" s="225"/>
      <c r="C31" s="225"/>
      <c r="D31" s="225"/>
      <c r="E31" s="225"/>
      <c r="F31" s="225"/>
      <c r="G31" s="226"/>
    </row>
    <row r="32" spans="1:7" ht="15.75" thickBot="1" x14ac:dyDescent="0.3">
      <c r="A32" s="227"/>
      <c r="B32" s="228"/>
      <c r="C32" s="228"/>
      <c r="D32" s="228"/>
      <c r="E32" s="228"/>
      <c r="F32" s="228"/>
      <c r="G32" s="229"/>
    </row>
    <row r="33" spans="1:8" ht="15.75" thickBot="1" x14ac:dyDescent="0.3">
      <c r="A33" s="210" t="s">
        <v>59</v>
      </c>
      <c r="B33" s="211"/>
      <c r="C33" s="211"/>
      <c r="D33" s="211"/>
      <c r="E33" s="211"/>
      <c r="F33" s="212"/>
      <c r="G33" s="42">
        <f>+G30+G25+G21+G14</f>
        <v>24140.000000000004</v>
      </c>
      <c r="H33" s="11">
        <f>+TABACAL!$E$5</f>
        <v>24140</v>
      </c>
    </row>
  </sheetData>
  <mergeCells count="25">
    <mergeCell ref="A13:D13"/>
    <mergeCell ref="B6:E6"/>
    <mergeCell ref="B7:E7"/>
    <mergeCell ref="A8:G8"/>
    <mergeCell ref="A11:D11"/>
    <mergeCell ref="A12:D12"/>
    <mergeCell ref="A24:B24"/>
    <mergeCell ref="A15:B15"/>
    <mergeCell ref="C15:G15"/>
    <mergeCell ref="A16:C16"/>
    <mergeCell ref="A17:C17"/>
    <mergeCell ref="A18:C18"/>
    <mergeCell ref="A19:C19"/>
    <mergeCell ref="A20:C20"/>
    <mergeCell ref="A21:C21"/>
    <mergeCell ref="A22:B22"/>
    <mergeCell ref="C22:G22"/>
    <mergeCell ref="A23:B23"/>
    <mergeCell ref="A33:F33"/>
    <mergeCell ref="A26:B26"/>
    <mergeCell ref="A27:B27"/>
    <mergeCell ref="A28:B28"/>
    <mergeCell ref="A29:B29"/>
    <mergeCell ref="A30:E30"/>
    <mergeCell ref="A31:G3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9"/>
  <sheetViews>
    <sheetView topLeftCell="A10" workbookViewId="0">
      <selection activeCell="C15" sqref="C15:G15"/>
    </sheetView>
  </sheetViews>
  <sheetFormatPr baseColWidth="10" defaultRowHeight="15" x14ac:dyDescent="0.25"/>
  <cols>
    <col min="1" max="1" width="15.42578125" customWidth="1"/>
    <col min="2" max="2" width="16.5703125" customWidth="1"/>
    <col min="3" max="3" width="15" customWidth="1"/>
    <col min="5" max="5" width="15.140625" customWidth="1"/>
    <col min="7"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88.5" customHeight="1" x14ac:dyDescent="0.25">
      <c r="A7" s="15" t="str">
        <f>+TABACAL!A7</f>
        <v>2.1</v>
      </c>
      <c r="B7" s="235" t="str">
        <f>+TABACAL!B7</f>
        <v>Desmonte y Demolición de cubierta cualquier material existente de la sede del Centro de Salud. Incluye el cargue, transporte, botada o recuperación de fieltro, tablilla, alfardas, cargueras y soleras, incluye cargue, transporte y botada de escombros, recuperación de los materiales aprovechables o su transporte hasta el sitio que lo indique la interventoría.</v>
      </c>
      <c r="C7" s="235"/>
      <c r="D7" s="235"/>
      <c r="E7" s="235"/>
      <c r="F7" s="16" t="str">
        <f>+TABACAL!C7</f>
        <v>m2</v>
      </c>
      <c r="G7" s="53">
        <f>+TABACAL!D7</f>
        <v>168.44</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199</v>
      </c>
      <c r="F11" s="13" t="s">
        <v>43</v>
      </c>
      <c r="G11" s="14" t="s">
        <v>44</v>
      </c>
    </row>
    <row r="12" spans="1:7" ht="30.75" customHeight="1" x14ac:dyDescent="0.25">
      <c r="A12" s="237" t="s">
        <v>198</v>
      </c>
      <c r="B12" s="220"/>
      <c r="C12" s="220"/>
      <c r="D12" s="220"/>
      <c r="E12" s="20">
        <v>1700</v>
      </c>
      <c r="F12" s="21">
        <v>0.15</v>
      </c>
      <c r="G12" s="22">
        <f>+E12*F12</f>
        <v>255</v>
      </c>
    </row>
    <row r="13" spans="1:7" x14ac:dyDescent="0.25">
      <c r="A13" s="219" t="s">
        <v>60</v>
      </c>
      <c r="B13" s="220"/>
      <c r="C13" s="220"/>
      <c r="D13" s="220"/>
      <c r="E13" s="20"/>
      <c r="F13" s="21"/>
      <c r="G13" s="22">
        <f>0.05*G25</f>
        <v>894.2600000000001</v>
      </c>
    </row>
    <row r="14" spans="1:7" ht="15.75" thickBot="1" x14ac:dyDescent="0.3">
      <c r="A14" s="23"/>
      <c r="F14" s="21" t="s">
        <v>45</v>
      </c>
      <c r="G14" s="22">
        <f>SUM(G12:G13)</f>
        <v>1149.2600000000002</v>
      </c>
    </row>
    <row r="15" spans="1:7" ht="15.75" thickBot="1" x14ac:dyDescent="0.3">
      <c r="A15" s="231" t="s">
        <v>46</v>
      </c>
      <c r="B15" s="232"/>
      <c r="C15" s="225"/>
      <c r="D15" s="225"/>
      <c r="E15" s="225"/>
      <c r="F15" s="225"/>
      <c r="G15" s="226"/>
    </row>
    <row r="16" spans="1:7" ht="15.75" thickBot="1" x14ac:dyDescent="0.3">
      <c r="A16" s="215" t="s">
        <v>37</v>
      </c>
      <c r="B16" s="216"/>
      <c r="C16" s="216"/>
      <c r="D16" s="13" t="s">
        <v>47</v>
      </c>
      <c r="E16" s="13" t="s">
        <v>3</v>
      </c>
      <c r="F16" s="13" t="s">
        <v>48</v>
      </c>
      <c r="G16" s="14" t="s">
        <v>44</v>
      </c>
    </row>
    <row r="17" spans="1:8" x14ac:dyDescent="0.25">
      <c r="A17" s="217" t="s">
        <v>108</v>
      </c>
      <c r="B17" s="218"/>
      <c r="C17" s="218"/>
      <c r="D17" s="24" t="s">
        <v>19</v>
      </c>
      <c r="E17" s="25">
        <v>1</v>
      </c>
      <c r="F17" s="26">
        <v>510.05217391304109</v>
      </c>
      <c r="G17" s="27">
        <f>+E17*F17</f>
        <v>510.05217391304109</v>
      </c>
    </row>
    <row r="18" spans="1:8" x14ac:dyDescent="0.25">
      <c r="A18" s="217"/>
      <c r="B18" s="218"/>
      <c r="C18" s="218"/>
      <c r="D18" s="24"/>
      <c r="E18" s="25"/>
      <c r="F18" s="26"/>
      <c r="G18" s="27">
        <f>+E18*F18</f>
        <v>0</v>
      </c>
    </row>
    <row r="19" spans="1:8" x14ac:dyDescent="0.25">
      <c r="A19" s="217"/>
      <c r="B19" s="218"/>
      <c r="C19" s="218"/>
      <c r="D19" s="24"/>
      <c r="E19" s="25"/>
      <c r="F19" s="26"/>
      <c r="G19" s="27">
        <f>+E19*F19</f>
        <v>0</v>
      </c>
    </row>
    <row r="20" spans="1:8" x14ac:dyDescent="0.25">
      <c r="A20" s="219"/>
      <c r="B20" s="220"/>
      <c r="C20" s="220"/>
      <c r="D20" s="24"/>
      <c r="E20" s="21"/>
      <c r="F20" s="20"/>
      <c r="G20" s="27"/>
    </row>
    <row r="21" spans="1:8" ht="15.75" thickBot="1" x14ac:dyDescent="0.3">
      <c r="A21" s="224"/>
      <c r="B21" s="225"/>
      <c r="C21" s="225"/>
      <c r="F21" s="21" t="s">
        <v>45</v>
      </c>
      <c r="G21" s="28">
        <f>SUM(G17:G20)</f>
        <v>510.05217391304109</v>
      </c>
    </row>
    <row r="22" spans="1:8" ht="15.75" thickBot="1" x14ac:dyDescent="0.3">
      <c r="A22" s="231" t="s">
        <v>49</v>
      </c>
      <c r="B22" s="232"/>
      <c r="C22" s="233"/>
      <c r="D22" s="233"/>
      <c r="E22" s="233"/>
      <c r="F22" s="233"/>
      <c r="G22" s="234"/>
    </row>
    <row r="23" spans="1:8" ht="15.75" thickBot="1" x14ac:dyDescent="0.3">
      <c r="A23" s="215" t="s">
        <v>50</v>
      </c>
      <c r="B23" s="216"/>
      <c r="C23" s="13" t="s">
        <v>51</v>
      </c>
      <c r="D23" s="13" t="s">
        <v>52</v>
      </c>
      <c r="E23" s="13" t="s">
        <v>53</v>
      </c>
      <c r="F23" s="13" t="s">
        <v>54</v>
      </c>
      <c r="G23" s="14" t="s">
        <v>44</v>
      </c>
    </row>
    <row r="24" spans="1:8" x14ac:dyDescent="0.25">
      <c r="A24" s="230" t="str">
        <f>+'insumos-MO'!B41</f>
        <v>Cuadrilla de construcción 0*3</v>
      </c>
      <c r="B24" s="218"/>
      <c r="C24" s="29">
        <f>+'insumos-MO'!E41</f>
        <v>268278</v>
      </c>
      <c r="D24" s="24"/>
      <c r="E24" s="29">
        <f>+C24</f>
        <v>268278</v>
      </c>
      <c r="F24" s="25">
        <v>15</v>
      </c>
      <c r="G24" s="27">
        <f>+E24/F24</f>
        <v>17885.2</v>
      </c>
    </row>
    <row r="25" spans="1:8" ht="15.75" thickBot="1" x14ac:dyDescent="0.3">
      <c r="A25" s="23"/>
      <c r="F25" s="21" t="s">
        <v>45</v>
      </c>
      <c r="G25" s="28">
        <f>SUM(G24)</f>
        <v>17885.2</v>
      </c>
    </row>
    <row r="26" spans="1:8" ht="15.75" thickBot="1" x14ac:dyDescent="0.3">
      <c r="A26" s="213" t="s">
        <v>200</v>
      </c>
      <c r="B26" s="214"/>
      <c r="G26" s="18"/>
    </row>
    <row r="27" spans="1:8" ht="15.75" thickBot="1" x14ac:dyDescent="0.3">
      <c r="A27" s="215" t="s">
        <v>206</v>
      </c>
      <c r="B27" s="216"/>
      <c r="C27" s="30" t="s">
        <v>38</v>
      </c>
      <c r="D27" s="13" t="s">
        <v>39</v>
      </c>
      <c r="E27" s="31"/>
      <c r="F27" s="13" t="s">
        <v>205</v>
      </c>
      <c r="G27" s="14" t="s">
        <v>44</v>
      </c>
    </row>
    <row r="28" spans="1:8" ht="43.5" customHeight="1" x14ac:dyDescent="0.25">
      <c r="A28" s="238" t="s">
        <v>201</v>
      </c>
      <c r="B28" s="220"/>
      <c r="C28" s="21" t="s">
        <v>202</v>
      </c>
      <c r="D28" s="48">
        <v>0.14775813043478264</v>
      </c>
      <c r="E28" s="70"/>
      <c r="F28" s="43">
        <v>60000</v>
      </c>
      <c r="G28" s="28">
        <f>+F28*D28</f>
        <v>8865.4878260869591</v>
      </c>
    </row>
    <row r="29" spans="1:8" x14ac:dyDescent="0.25">
      <c r="A29" s="221"/>
      <c r="B29" s="222"/>
      <c r="C29" s="222"/>
      <c r="D29" s="222"/>
      <c r="E29" s="223"/>
      <c r="F29" s="21" t="s">
        <v>45</v>
      </c>
      <c r="G29" s="28">
        <f>SUM(G28:G28)</f>
        <v>8865.4878260869591</v>
      </c>
    </row>
    <row r="30" spans="1:8" x14ac:dyDescent="0.25">
      <c r="A30" s="224"/>
      <c r="B30" s="225"/>
      <c r="C30" s="225"/>
      <c r="D30" s="225"/>
      <c r="E30" s="225"/>
      <c r="F30" s="225"/>
      <c r="G30" s="226"/>
    </row>
    <row r="31" spans="1:8" ht="15.75" thickBot="1" x14ac:dyDescent="0.3">
      <c r="A31" s="227"/>
      <c r="B31" s="228"/>
      <c r="C31" s="228"/>
      <c r="D31" s="228"/>
      <c r="E31" s="228"/>
      <c r="F31" s="228"/>
      <c r="G31" s="229"/>
    </row>
    <row r="32" spans="1:8" ht="15.75" thickBot="1" x14ac:dyDescent="0.3">
      <c r="A32" s="210" t="s">
        <v>59</v>
      </c>
      <c r="B32" s="211"/>
      <c r="C32" s="211"/>
      <c r="D32" s="211"/>
      <c r="E32" s="211"/>
      <c r="F32" s="212"/>
      <c r="G32" s="42">
        <f>+G29+G25+G21+G14</f>
        <v>28410</v>
      </c>
      <c r="H32" s="11">
        <f>+TABACAL!E7</f>
        <v>28410</v>
      </c>
    </row>
    <row r="38" spans="2:2" x14ac:dyDescent="0.25">
      <c r="B38" t="s">
        <v>120</v>
      </c>
    </row>
    <row r="39" spans="2:2" x14ac:dyDescent="0.25">
      <c r="B39" t="s">
        <v>121</v>
      </c>
    </row>
  </sheetData>
  <mergeCells count="24">
    <mergeCell ref="A17:C17"/>
    <mergeCell ref="A18:C18"/>
    <mergeCell ref="A19:C19"/>
    <mergeCell ref="B6:E6"/>
    <mergeCell ref="B7:E7"/>
    <mergeCell ref="A8:G8"/>
    <mergeCell ref="A11:D11"/>
    <mergeCell ref="A13:D13"/>
    <mergeCell ref="A32:F32"/>
    <mergeCell ref="A12:D12"/>
    <mergeCell ref="A26:B26"/>
    <mergeCell ref="A27:B27"/>
    <mergeCell ref="A28:B28"/>
    <mergeCell ref="A29:E29"/>
    <mergeCell ref="A30:G31"/>
    <mergeCell ref="A20:C20"/>
    <mergeCell ref="A21:C21"/>
    <mergeCell ref="A22:B22"/>
    <mergeCell ref="C22:G22"/>
    <mergeCell ref="A23:B23"/>
    <mergeCell ref="A24:B24"/>
    <mergeCell ref="A15:B15"/>
    <mergeCell ref="C15:G15"/>
    <mergeCell ref="A16:C1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workbookViewId="0">
      <selection activeCell="B35" sqref="B35"/>
    </sheetView>
  </sheetViews>
  <sheetFormatPr baseColWidth="10" defaultRowHeight="15" x14ac:dyDescent="0.25"/>
  <cols>
    <col min="1" max="1" width="15.42578125" customWidth="1"/>
    <col min="2" max="2" width="17" customWidth="1"/>
    <col min="3" max="3" width="15" customWidth="1"/>
    <col min="4" max="4" width="13.140625" customWidth="1"/>
    <col min="5" max="5" width="15.140625" customWidth="1"/>
    <col min="7" max="8" width="12.5703125" bestFit="1" customWidth="1"/>
  </cols>
  <sheetData>
    <row r="1" spans="1:7" ht="9.75" customHeight="1" x14ac:dyDescent="0.25"/>
    <row r="3" spans="1:7" ht="11.25" customHeight="1" x14ac:dyDescent="0.25"/>
    <row r="5" spans="1:7" ht="7.5" customHeight="1" thickBot="1" x14ac:dyDescent="0.3"/>
    <row r="6" spans="1:7" ht="25.5" customHeight="1" thickBot="1" x14ac:dyDescent="0.3">
      <c r="A6" s="12" t="s">
        <v>36</v>
      </c>
      <c r="B6" s="216" t="s">
        <v>37</v>
      </c>
      <c r="C6" s="216"/>
      <c r="D6" s="216"/>
      <c r="E6" s="216"/>
      <c r="F6" s="13" t="s">
        <v>38</v>
      </c>
      <c r="G6" s="14" t="s">
        <v>39</v>
      </c>
    </row>
    <row r="7" spans="1:7" ht="50.25" customHeight="1" x14ac:dyDescent="0.25">
      <c r="A7" s="15" t="str">
        <f>+TABACAL!A8</f>
        <v>2.2</v>
      </c>
      <c r="B7" s="235" t="str">
        <f>+TABACAL!B8</f>
        <v>Desmonte y retiro de ventanas existentes en el centro de salud. Incluye, cargue y transporte hasta la bodega o el sitio que indique la interventoría</v>
      </c>
      <c r="C7" s="235"/>
      <c r="D7" s="235"/>
      <c r="E7" s="235"/>
      <c r="F7" s="16" t="str">
        <f>+TABACAL!C8</f>
        <v>m2</v>
      </c>
      <c r="G7" s="53">
        <f>+TABACAL!D8</f>
        <v>12.6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0.05*G22</f>
        <v>1490.4333333333334</v>
      </c>
    </row>
    <row r="13" spans="1:7" ht="15.75" thickBot="1" x14ac:dyDescent="0.3">
      <c r="A13" s="23"/>
      <c r="F13" s="21" t="s">
        <v>45</v>
      </c>
      <c r="G13" s="22">
        <f>SUM(G12:G12)</f>
        <v>1490.4333333333334</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c r="B16" s="218"/>
      <c r="C16" s="218"/>
      <c r="D16" s="24"/>
      <c r="E16" s="25"/>
      <c r="F16" s="26"/>
      <c r="G16" s="27">
        <f>+E16*F16</f>
        <v>0</v>
      </c>
    </row>
    <row r="17" spans="1:8" x14ac:dyDescent="0.25">
      <c r="A17" s="219"/>
      <c r="B17" s="220"/>
      <c r="C17" s="220"/>
      <c r="D17" s="24"/>
      <c r="E17" s="21"/>
      <c r="F17" s="20"/>
      <c r="G17" s="27"/>
    </row>
    <row r="18" spans="1:8" ht="15.75" thickBot="1" x14ac:dyDescent="0.3">
      <c r="A18" s="224"/>
      <c r="B18" s="225"/>
      <c r="C18" s="225"/>
      <c r="F18" s="21" t="s">
        <v>45</v>
      </c>
      <c r="G18" s="28">
        <f>SUM(G16:G17)</f>
        <v>0</v>
      </c>
    </row>
    <row r="19" spans="1:8" ht="15.75" thickBot="1" x14ac:dyDescent="0.3">
      <c r="A19" s="231" t="s">
        <v>49</v>
      </c>
      <c r="B19" s="232"/>
      <c r="C19" s="233"/>
      <c r="D19" s="233"/>
      <c r="E19" s="233"/>
      <c r="F19" s="233"/>
      <c r="G19" s="234"/>
    </row>
    <row r="20" spans="1:8" ht="15.75" thickBot="1" x14ac:dyDescent="0.3">
      <c r="A20" s="215" t="s">
        <v>50</v>
      </c>
      <c r="B20" s="216"/>
      <c r="C20" s="13" t="s">
        <v>51</v>
      </c>
      <c r="D20" s="13" t="s">
        <v>52</v>
      </c>
      <c r="E20" s="13" t="s">
        <v>53</v>
      </c>
      <c r="F20" s="13" t="s">
        <v>54</v>
      </c>
      <c r="G20" s="14" t="s">
        <v>44</v>
      </c>
    </row>
    <row r="21" spans="1:8" x14ac:dyDescent="0.25">
      <c r="A21" s="230" t="str">
        <f>+'insumos-MO'!B40</f>
        <v>Cuadrilla de construcción 0*2</v>
      </c>
      <c r="B21" s="218"/>
      <c r="C21" s="29">
        <f>+'insumos-MO'!E40</f>
        <v>178852</v>
      </c>
      <c r="D21" s="24"/>
      <c r="E21" s="29">
        <f>+C21</f>
        <v>178852</v>
      </c>
      <c r="F21" s="25">
        <v>6</v>
      </c>
      <c r="G21" s="27">
        <f>+E21/F21</f>
        <v>29808.666666666668</v>
      </c>
    </row>
    <row r="22" spans="1:8" ht="15.75" thickBot="1" x14ac:dyDescent="0.3">
      <c r="A22" s="23"/>
      <c r="F22" s="21" t="s">
        <v>45</v>
      </c>
      <c r="G22" s="28">
        <f>SUM(G21)</f>
        <v>29808.666666666668</v>
      </c>
    </row>
    <row r="23" spans="1:8" ht="15.75" thickBot="1" x14ac:dyDescent="0.3">
      <c r="A23" s="213" t="s">
        <v>200</v>
      </c>
      <c r="B23" s="214"/>
      <c r="G23" s="18"/>
    </row>
    <row r="24" spans="1:8" ht="15.75" thickBot="1" x14ac:dyDescent="0.3">
      <c r="A24" s="215" t="s">
        <v>206</v>
      </c>
      <c r="B24" s="216"/>
      <c r="C24" s="30" t="s">
        <v>38</v>
      </c>
      <c r="D24" s="13" t="s">
        <v>39</v>
      </c>
      <c r="E24" s="31"/>
      <c r="F24" s="13" t="s">
        <v>205</v>
      </c>
      <c r="G24" s="14" t="s">
        <v>44</v>
      </c>
    </row>
    <row r="25" spans="1:8" ht="43.5" customHeight="1" x14ac:dyDescent="0.25">
      <c r="A25" s="238" t="s">
        <v>201</v>
      </c>
      <c r="B25" s="220"/>
      <c r="C25" s="21" t="s">
        <v>202</v>
      </c>
      <c r="D25" s="48">
        <v>0.31759833333333315</v>
      </c>
      <c r="E25" s="70"/>
      <c r="F25" s="43">
        <v>60000</v>
      </c>
      <c r="G25" s="28">
        <f>+F25*D25</f>
        <v>19055.899999999991</v>
      </c>
    </row>
    <row r="26" spans="1:8" x14ac:dyDescent="0.25">
      <c r="A26" s="221"/>
      <c r="B26" s="222"/>
      <c r="C26" s="222"/>
      <c r="D26" s="222"/>
      <c r="E26" s="223"/>
      <c r="F26" s="21" t="s">
        <v>45</v>
      </c>
      <c r="G26" s="28">
        <f>SUM(G25:G25)</f>
        <v>19055.899999999991</v>
      </c>
    </row>
    <row r="27" spans="1:8" x14ac:dyDescent="0.25">
      <c r="A27" s="224"/>
      <c r="B27" s="225"/>
      <c r="C27" s="225"/>
      <c r="D27" s="225"/>
      <c r="E27" s="225"/>
      <c r="F27" s="225"/>
      <c r="G27" s="226"/>
    </row>
    <row r="28" spans="1:8" ht="15.75" thickBot="1" x14ac:dyDescent="0.3">
      <c r="A28" s="227"/>
      <c r="B28" s="228"/>
      <c r="C28" s="228"/>
      <c r="D28" s="228"/>
      <c r="E28" s="228"/>
      <c r="F28" s="228"/>
      <c r="G28" s="229"/>
    </row>
    <row r="29" spans="1:8" ht="15.75" thickBot="1" x14ac:dyDescent="0.3">
      <c r="A29" s="210" t="s">
        <v>59</v>
      </c>
      <c r="B29" s="211"/>
      <c r="C29" s="211"/>
      <c r="D29" s="211"/>
      <c r="E29" s="211"/>
      <c r="F29" s="212"/>
      <c r="G29" s="42">
        <f>+G26+G22+G18+G13</f>
        <v>50354.999999999993</v>
      </c>
      <c r="H29" s="11">
        <f>+TABACAL!E8</f>
        <v>50355</v>
      </c>
    </row>
  </sheetData>
  <mergeCells count="21">
    <mergeCell ref="A14:B14"/>
    <mergeCell ref="C14:G14"/>
    <mergeCell ref="A15:C15"/>
    <mergeCell ref="A16:C16"/>
    <mergeCell ref="B6:E6"/>
    <mergeCell ref="B7:E7"/>
    <mergeCell ref="A8:G8"/>
    <mergeCell ref="A11:D11"/>
    <mergeCell ref="A12:D12"/>
    <mergeCell ref="A29:F29"/>
    <mergeCell ref="A17:C17"/>
    <mergeCell ref="A18:C18"/>
    <mergeCell ref="A19:B19"/>
    <mergeCell ref="C19:G19"/>
    <mergeCell ref="A20:B20"/>
    <mergeCell ref="A21:B21"/>
    <mergeCell ref="A23:B23"/>
    <mergeCell ref="A24:B24"/>
    <mergeCell ref="A25:B25"/>
    <mergeCell ref="A26:E26"/>
    <mergeCell ref="A27:G28"/>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29"/>
  <sheetViews>
    <sheetView workbookViewId="0">
      <selection activeCell="H6" sqref="H6"/>
    </sheetView>
  </sheetViews>
  <sheetFormatPr baseColWidth="10" defaultRowHeight="15" x14ac:dyDescent="0.25"/>
  <cols>
    <col min="1" max="1" width="15.42578125" customWidth="1"/>
    <col min="2" max="2" width="17" customWidth="1"/>
    <col min="3" max="3" width="15" customWidth="1"/>
    <col min="4" max="4" width="13.140625" customWidth="1"/>
    <col min="5" max="5" width="15.140625" customWidth="1"/>
    <col min="7"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40.5" customHeight="1" x14ac:dyDescent="0.25">
      <c r="A7" s="15" t="str">
        <f>+TABACAL!A9</f>
        <v>2.3</v>
      </c>
      <c r="B7" s="235" t="str">
        <f>+TABACAL!B9</f>
        <v>DEMOLICIÓN DE PISOS en concreto incluye retiro de baldosa de cemento, baldosín forros en arenón, entre otros),</v>
      </c>
      <c r="C7" s="235"/>
      <c r="D7" s="235"/>
      <c r="E7" s="235"/>
      <c r="F7" s="16" t="str">
        <f>+TABACAL!C9</f>
        <v>m2</v>
      </c>
      <c r="G7" s="53">
        <f>+TABACAL!D9</f>
        <v>387.43</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0.05*G22</f>
        <v>894.2600000000001</v>
      </c>
    </row>
    <row r="13" spans="1:7" ht="15.75" thickBot="1" x14ac:dyDescent="0.3">
      <c r="A13" s="23"/>
      <c r="F13" s="21" t="s">
        <v>45</v>
      </c>
      <c r="G13" s="22">
        <f>SUM(G12:G12)</f>
        <v>894.2600000000001</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c r="B16" s="218"/>
      <c r="C16" s="218"/>
      <c r="D16" s="24"/>
      <c r="E16" s="25"/>
      <c r="F16" s="26"/>
      <c r="G16" s="27">
        <f>+E16*F16</f>
        <v>0</v>
      </c>
    </row>
    <row r="17" spans="1:8" x14ac:dyDescent="0.25">
      <c r="A17" s="219"/>
      <c r="B17" s="220"/>
      <c r="C17" s="220"/>
      <c r="D17" s="24"/>
      <c r="E17" s="21"/>
      <c r="F17" s="20"/>
      <c r="G17" s="27"/>
    </row>
    <row r="18" spans="1:8" ht="15.75" thickBot="1" x14ac:dyDescent="0.3">
      <c r="A18" s="224"/>
      <c r="B18" s="225"/>
      <c r="C18" s="225"/>
      <c r="F18" s="21" t="s">
        <v>45</v>
      </c>
      <c r="G18" s="28">
        <f>SUM(G16:G17)</f>
        <v>0</v>
      </c>
    </row>
    <row r="19" spans="1:8" ht="15.75" thickBot="1" x14ac:dyDescent="0.3">
      <c r="A19" s="231" t="s">
        <v>49</v>
      </c>
      <c r="B19" s="232"/>
      <c r="C19" s="233"/>
      <c r="D19" s="233"/>
      <c r="E19" s="233"/>
      <c r="F19" s="233"/>
      <c r="G19" s="234"/>
    </row>
    <row r="20" spans="1:8" ht="15.75" thickBot="1" x14ac:dyDescent="0.3">
      <c r="A20" s="215" t="s">
        <v>50</v>
      </c>
      <c r="B20" s="216"/>
      <c r="C20" s="13" t="s">
        <v>51</v>
      </c>
      <c r="D20" s="13" t="s">
        <v>52</v>
      </c>
      <c r="E20" s="13" t="s">
        <v>53</v>
      </c>
      <c r="F20" s="13" t="s">
        <v>54</v>
      </c>
      <c r="G20" s="14" t="s">
        <v>44</v>
      </c>
    </row>
    <row r="21" spans="1:8" x14ac:dyDescent="0.25">
      <c r="A21" s="230" t="str">
        <f>+'insumos-MO'!B39</f>
        <v>Cuadrilla de construcción 0*1</v>
      </c>
      <c r="B21" s="218"/>
      <c r="C21" s="29">
        <f>+'insumos-MO'!E39</f>
        <v>89426</v>
      </c>
      <c r="D21" s="24"/>
      <c r="E21" s="29">
        <f>+C21</f>
        <v>89426</v>
      </c>
      <c r="F21" s="25">
        <v>5</v>
      </c>
      <c r="G21" s="27">
        <f>+E21/F21</f>
        <v>17885.2</v>
      </c>
    </row>
    <row r="22" spans="1:8" ht="15.75" thickBot="1" x14ac:dyDescent="0.3">
      <c r="A22" s="23"/>
      <c r="F22" s="21" t="s">
        <v>45</v>
      </c>
      <c r="G22" s="28">
        <f>SUM(G21)</f>
        <v>17885.2</v>
      </c>
    </row>
    <row r="23" spans="1:8" ht="15.75" thickBot="1" x14ac:dyDescent="0.3">
      <c r="A23" s="213" t="s">
        <v>200</v>
      </c>
      <c r="B23" s="214"/>
      <c r="G23" s="18"/>
    </row>
    <row r="24" spans="1:8" ht="15.75" thickBot="1" x14ac:dyDescent="0.3">
      <c r="A24" s="215" t="s">
        <v>206</v>
      </c>
      <c r="B24" s="216"/>
      <c r="C24" s="30" t="s">
        <v>38</v>
      </c>
      <c r="D24" s="13" t="s">
        <v>39</v>
      </c>
      <c r="E24" s="31"/>
      <c r="F24" s="13" t="s">
        <v>205</v>
      </c>
      <c r="G24" s="14" t="s">
        <v>44</v>
      </c>
    </row>
    <row r="25" spans="1:8" ht="43.5" customHeight="1" x14ac:dyDescent="0.25">
      <c r="A25" s="238" t="s">
        <v>201</v>
      </c>
      <c r="B25" s="220"/>
      <c r="C25" s="21" t="s">
        <v>202</v>
      </c>
      <c r="D25" s="48">
        <v>0.38105900000000004</v>
      </c>
      <c r="E25" s="70"/>
      <c r="F25" s="43">
        <v>60000</v>
      </c>
      <c r="G25" s="28">
        <f>+F25*D25</f>
        <v>22863.54</v>
      </c>
    </row>
    <row r="26" spans="1:8" x14ac:dyDescent="0.25">
      <c r="A26" s="221"/>
      <c r="B26" s="222"/>
      <c r="C26" s="222"/>
      <c r="D26" s="222"/>
      <c r="E26" s="223"/>
      <c r="F26" s="21" t="s">
        <v>45</v>
      </c>
      <c r="G26" s="28">
        <f>SUM(G25:G25)</f>
        <v>22863.54</v>
      </c>
    </row>
    <row r="27" spans="1:8" x14ac:dyDescent="0.25">
      <c r="A27" s="224"/>
      <c r="B27" s="225"/>
      <c r="C27" s="225"/>
      <c r="D27" s="225"/>
      <c r="E27" s="225"/>
      <c r="F27" s="225"/>
      <c r="G27" s="226"/>
    </row>
    <row r="28" spans="1:8" ht="15.75" thickBot="1" x14ac:dyDescent="0.3">
      <c r="A28" s="227"/>
      <c r="B28" s="228"/>
      <c r="C28" s="228"/>
      <c r="D28" s="228"/>
      <c r="E28" s="228"/>
      <c r="F28" s="228"/>
      <c r="G28" s="229"/>
    </row>
    <row r="29" spans="1:8" ht="15.75" thickBot="1" x14ac:dyDescent="0.3">
      <c r="A29" s="210" t="s">
        <v>59</v>
      </c>
      <c r="B29" s="211"/>
      <c r="C29" s="211"/>
      <c r="D29" s="211"/>
      <c r="E29" s="211"/>
      <c r="F29" s="212"/>
      <c r="G29" s="42">
        <f>+G26+G22+G18+G13</f>
        <v>41643.000000000007</v>
      </c>
      <c r="H29" s="11">
        <f>+TABACAL!E9</f>
        <v>41643</v>
      </c>
    </row>
  </sheetData>
  <mergeCells count="21">
    <mergeCell ref="A14:B14"/>
    <mergeCell ref="C14:G14"/>
    <mergeCell ref="B6:E6"/>
    <mergeCell ref="B7:E7"/>
    <mergeCell ref="A8:G8"/>
    <mergeCell ref="A11:D11"/>
    <mergeCell ref="A12:D12"/>
    <mergeCell ref="A15:C15"/>
    <mergeCell ref="A16:C16"/>
    <mergeCell ref="A17:C17"/>
    <mergeCell ref="A18:C18"/>
    <mergeCell ref="A19:B19"/>
    <mergeCell ref="C19:G19"/>
    <mergeCell ref="A27:G28"/>
    <mergeCell ref="A29:F29"/>
    <mergeCell ref="A20:B20"/>
    <mergeCell ref="A21:B21"/>
    <mergeCell ref="A23:B23"/>
    <mergeCell ref="A24:B24"/>
    <mergeCell ref="A25:B25"/>
    <mergeCell ref="A26:E2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29"/>
  <sheetViews>
    <sheetView topLeftCell="A10" workbookViewId="0">
      <selection activeCell="G13" sqref="G13"/>
    </sheetView>
  </sheetViews>
  <sheetFormatPr baseColWidth="10" defaultRowHeight="15" x14ac:dyDescent="0.25"/>
  <cols>
    <col min="1" max="1" width="15.42578125" customWidth="1"/>
    <col min="2" max="2" width="17" customWidth="1"/>
    <col min="3" max="3" width="15" customWidth="1"/>
    <col min="4" max="4" width="13.140625" customWidth="1"/>
    <col min="5" max="5" width="15.140625" customWidth="1"/>
    <col min="7"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78.75" customHeight="1" x14ac:dyDescent="0.25">
      <c r="A7" s="15" t="str">
        <f>+TABACAL!A10</f>
        <v>2.4</v>
      </c>
      <c r="B7" s="235" t="str">
        <f>+TABACAL!B10</f>
        <v>RETIRO DE APARATOS SANITARIOS Y LAVAMANOS, incluye el cargue, transporte, botada o recuperación de aparatos sanitarios, lavamanos, lavaderos, orinales. Incluye botada en botaderos oficiales y la recuperación de los materiales aprovechables y/o su transporte hasta la bodega o el sitio que indique la interventoría</v>
      </c>
      <c r="C7" s="235"/>
      <c r="D7" s="235"/>
      <c r="E7" s="235"/>
      <c r="F7" s="16" t="str">
        <f>+TABACAL!C10</f>
        <v>Unidad</v>
      </c>
      <c r="G7" s="53">
        <f>+TABACAL!D10</f>
        <v>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0.05*G22</f>
        <v>1117.825</v>
      </c>
    </row>
    <row r="13" spans="1:7" ht="15.75" thickBot="1" x14ac:dyDescent="0.3">
      <c r="A13" s="23"/>
      <c r="F13" s="21" t="s">
        <v>45</v>
      </c>
      <c r="G13" s="22">
        <f>SUM(G12:G12)</f>
        <v>1117.825</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c r="B16" s="218"/>
      <c r="C16" s="218"/>
      <c r="D16" s="24"/>
      <c r="E16" s="25"/>
      <c r="F16" s="26"/>
      <c r="G16" s="27">
        <f>+E16*F16</f>
        <v>0</v>
      </c>
    </row>
    <row r="17" spans="1:8" x14ac:dyDescent="0.25">
      <c r="A17" s="219"/>
      <c r="B17" s="220"/>
      <c r="C17" s="220"/>
      <c r="D17" s="24"/>
      <c r="E17" s="21"/>
      <c r="F17" s="20"/>
      <c r="G17" s="27"/>
    </row>
    <row r="18" spans="1:8" ht="15.75" thickBot="1" x14ac:dyDescent="0.3">
      <c r="A18" s="224"/>
      <c r="B18" s="225"/>
      <c r="C18" s="225"/>
      <c r="F18" s="21" t="s">
        <v>45</v>
      </c>
      <c r="G18" s="28">
        <f>SUM(G16:G17)</f>
        <v>0</v>
      </c>
    </row>
    <row r="19" spans="1:8" ht="15.75" thickBot="1" x14ac:dyDescent="0.3">
      <c r="A19" s="231" t="s">
        <v>49</v>
      </c>
      <c r="B19" s="232"/>
      <c r="C19" s="233"/>
      <c r="D19" s="233"/>
      <c r="E19" s="233"/>
      <c r="F19" s="233"/>
      <c r="G19" s="234"/>
    </row>
    <row r="20" spans="1:8" ht="15.75" thickBot="1" x14ac:dyDescent="0.3">
      <c r="A20" s="215" t="s">
        <v>50</v>
      </c>
      <c r="B20" s="216"/>
      <c r="C20" s="13" t="s">
        <v>51</v>
      </c>
      <c r="D20" s="13" t="s">
        <v>52</v>
      </c>
      <c r="E20" s="13" t="s">
        <v>53</v>
      </c>
      <c r="F20" s="13" t="s">
        <v>54</v>
      </c>
      <c r="G20" s="14" t="s">
        <v>44</v>
      </c>
    </row>
    <row r="21" spans="1:8" x14ac:dyDescent="0.25">
      <c r="A21" s="230" t="str">
        <f>+'insumos-MO'!B39</f>
        <v>Cuadrilla de construcción 0*1</v>
      </c>
      <c r="B21" s="218"/>
      <c r="C21" s="29">
        <f>+'insumos-MO'!E39</f>
        <v>89426</v>
      </c>
      <c r="D21" s="24"/>
      <c r="E21" s="29">
        <f>+C21</f>
        <v>89426</v>
      </c>
      <c r="F21" s="25">
        <v>4</v>
      </c>
      <c r="G21" s="27">
        <f>+E21/F21</f>
        <v>22356.5</v>
      </c>
    </row>
    <row r="22" spans="1:8" ht="15.75" thickBot="1" x14ac:dyDescent="0.3">
      <c r="A22" s="23"/>
      <c r="F22" s="21" t="s">
        <v>45</v>
      </c>
      <c r="G22" s="28">
        <f>SUM(G21)</f>
        <v>22356.5</v>
      </c>
    </row>
    <row r="23" spans="1:8" ht="15.75" thickBot="1" x14ac:dyDescent="0.3">
      <c r="A23" s="213" t="s">
        <v>200</v>
      </c>
      <c r="B23" s="214"/>
      <c r="G23" s="18"/>
    </row>
    <row r="24" spans="1:8" ht="15.75" thickBot="1" x14ac:dyDescent="0.3">
      <c r="A24" s="215" t="s">
        <v>206</v>
      </c>
      <c r="B24" s="216"/>
      <c r="C24" s="30" t="s">
        <v>38</v>
      </c>
      <c r="D24" s="13" t="s">
        <v>39</v>
      </c>
      <c r="E24" s="31"/>
      <c r="F24" s="13" t="s">
        <v>205</v>
      </c>
      <c r="G24" s="14" t="s">
        <v>44</v>
      </c>
    </row>
    <row r="25" spans="1:8" ht="43.5" customHeight="1" x14ac:dyDescent="0.25">
      <c r="A25" s="238" t="s">
        <v>201</v>
      </c>
      <c r="B25" s="220"/>
      <c r="C25" s="21" t="s">
        <v>202</v>
      </c>
      <c r="D25" s="48">
        <v>0.49689458333333375</v>
      </c>
      <c r="E25" s="70"/>
      <c r="F25" s="43">
        <v>60000</v>
      </c>
      <c r="G25" s="28">
        <f>+F25*D25</f>
        <v>29813.675000000025</v>
      </c>
    </row>
    <row r="26" spans="1:8" x14ac:dyDescent="0.25">
      <c r="A26" s="221"/>
      <c r="B26" s="222"/>
      <c r="C26" s="222"/>
      <c r="D26" s="222"/>
      <c r="E26" s="223"/>
      <c r="F26" s="21" t="s">
        <v>45</v>
      </c>
      <c r="G26" s="28">
        <f>SUM(G25:G25)</f>
        <v>29813.675000000025</v>
      </c>
    </row>
    <row r="27" spans="1:8" x14ac:dyDescent="0.25">
      <c r="A27" s="224"/>
      <c r="B27" s="225"/>
      <c r="C27" s="225"/>
      <c r="D27" s="225"/>
      <c r="E27" s="225"/>
      <c r="F27" s="225"/>
      <c r="G27" s="226"/>
    </row>
    <row r="28" spans="1:8" ht="15.75" thickBot="1" x14ac:dyDescent="0.3">
      <c r="A28" s="227"/>
      <c r="B28" s="228"/>
      <c r="C28" s="228"/>
      <c r="D28" s="228"/>
      <c r="E28" s="228"/>
      <c r="F28" s="228"/>
      <c r="G28" s="229"/>
    </row>
    <row r="29" spans="1:8" ht="15.75" thickBot="1" x14ac:dyDescent="0.3">
      <c r="A29" s="210" t="s">
        <v>59</v>
      </c>
      <c r="B29" s="211"/>
      <c r="C29" s="211"/>
      <c r="D29" s="211"/>
      <c r="E29" s="211"/>
      <c r="F29" s="212"/>
      <c r="G29" s="42">
        <f>+G26+G22+G18+G13</f>
        <v>53288.000000000022</v>
      </c>
      <c r="H29" s="11">
        <f>+TABACAL!E10</f>
        <v>53288</v>
      </c>
    </row>
  </sheetData>
  <mergeCells count="21">
    <mergeCell ref="A14:B14"/>
    <mergeCell ref="C14:G14"/>
    <mergeCell ref="B6:E6"/>
    <mergeCell ref="B7:E7"/>
    <mergeCell ref="A8:G8"/>
    <mergeCell ref="A11:D11"/>
    <mergeCell ref="A12:D12"/>
    <mergeCell ref="A15:C15"/>
    <mergeCell ref="A16:C16"/>
    <mergeCell ref="A17:C17"/>
    <mergeCell ref="A18:C18"/>
    <mergeCell ref="A19:B19"/>
    <mergeCell ref="C19:G19"/>
    <mergeCell ref="A27:G28"/>
    <mergeCell ref="A29:F29"/>
    <mergeCell ref="A20:B20"/>
    <mergeCell ref="A21:B21"/>
    <mergeCell ref="A23:B23"/>
    <mergeCell ref="A24:B24"/>
    <mergeCell ref="A25:B25"/>
    <mergeCell ref="A26:E2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29"/>
  <sheetViews>
    <sheetView workbookViewId="0">
      <selection activeCell="G13" sqref="G13"/>
    </sheetView>
  </sheetViews>
  <sheetFormatPr baseColWidth="10" defaultRowHeight="15" x14ac:dyDescent="0.25"/>
  <cols>
    <col min="1" max="1" width="15.42578125" customWidth="1"/>
    <col min="2" max="2" width="17" customWidth="1"/>
    <col min="3" max="3" width="15" customWidth="1"/>
    <col min="4" max="4" width="13.140625" customWidth="1"/>
    <col min="5" max="5" width="15.140625" customWidth="1"/>
    <col min="7"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51" customHeight="1" x14ac:dyDescent="0.25">
      <c r="A7" s="15" t="str">
        <f>+TABACAL!A11</f>
        <v>2.5</v>
      </c>
      <c r="B7" s="235" t="str">
        <f>+TABACAL!B11</f>
        <v>RETIRO DE PUERTAS (marcos y alas) metálicas, en aluminio, en madera o (puerta, ventana en reja).  Ancho variable desde 0,60 a 1,20 m.</v>
      </c>
      <c r="C7" s="235"/>
      <c r="D7" s="235"/>
      <c r="E7" s="235"/>
      <c r="F7" s="16" t="str">
        <f>+TABACAL!C11</f>
        <v>Unidad</v>
      </c>
      <c r="G7" s="53">
        <f>+TABACAL!D11</f>
        <v>16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0.05*G22</f>
        <v>1788.5200000000002</v>
      </c>
    </row>
    <row r="13" spans="1:7" ht="15.75" thickBot="1" x14ac:dyDescent="0.3">
      <c r="A13" s="23"/>
      <c r="F13" s="21" t="s">
        <v>45</v>
      </c>
      <c r="G13" s="22">
        <f>SUM(G12:G12)</f>
        <v>1788.5200000000002</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c r="B16" s="218"/>
      <c r="C16" s="218"/>
      <c r="D16" s="24"/>
      <c r="E16" s="25"/>
      <c r="F16" s="26"/>
      <c r="G16" s="27">
        <f>+E16*F16</f>
        <v>0</v>
      </c>
    </row>
    <row r="17" spans="1:8" x14ac:dyDescent="0.25">
      <c r="A17" s="219"/>
      <c r="B17" s="220"/>
      <c r="C17" s="220"/>
      <c r="D17" s="24"/>
      <c r="E17" s="21"/>
      <c r="F17" s="20"/>
      <c r="G17" s="27"/>
    </row>
    <row r="18" spans="1:8" ht="15.75" thickBot="1" x14ac:dyDescent="0.3">
      <c r="A18" s="224"/>
      <c r="B18" s="225"/>
      <c r="C18" s="225"/>
      <c r="F18" s="21" t="s">
        <v>45</v>
      </c>
      <c r="G18" s="28">
        <f>SUM(G16:G17)</f>
        <v>0</v>
      </c>
    </row>
    <row r="19" spans="1:8" ht="15.75" thickBot="1" x14ac:dyDescent="0.3">
      <c r="A19" s="231" t="s">
        <v>49</v>
      </c>
      <c r="B19" s="232"/>
      <c r="C19" s="233"/>
      <c r="D19" s="233"/>
      <c r="E19" s="233"/>
      <c r="F19" s="233"/>
      <c r="G19" s="234"/>
    </row>
    <row r="20" spans="1:8" ht="15.75" thickBot="1" x14ac:dyDescent="0.3">
      <c r="A20" s="215" t="s">
        <v>50</v>
      </c>
      <c r="B20" s="216"/>
      <c r="C20" s="13" t="s">
        <v>51</v>
      </c>
      <c r="D20" s="13" t="s">
        <v>52</v>
      </c>
      <c r="E20" s="13" t="s">
        <v>53</v>
      </c>
      <c r="F20" s="13" t="s">
        <v>54</v>
      </c>
      <c r="G20" s="14" t="s">
        <v>44</v>
      </c>
    </row>
    <row r="21" spans="1:8" x14ac:dyDescent="0.25">
      <c r="A21" s="230" t="str">
        <f>+'insumos-MO'!B40</f>
        <v>Cuadrilla de construcción 0*2</v>
      </c>
      <c r="B21" s="218"/>
      <c r="C21" s="29">
        <f>+'insumos-MO'!E40</f>
        <v>178852</v>
      </c>
      <c r="D21" s="24"/>
      <c r="E21" s="29">
        <f>+C21</f>
        <v>178852</v>
      </c>
      <c r="F21" s="25">
        <v>5</v>
      </c>
      <c r="G21" s="27">
        <f>+E21/F21</f>
        <v>35770.400000000001</v>
      </c>
    </row>
    <row r="22" spans="1:8" ht="15.75" thickBot="1" x14ac:dyDescent="0.3">
      <c r="A22" s="23"/>
      <c r="F22" s="21" t="s">
        <v>45</v>
      </c>
      <c r="G22" s="28">
        <f>SUM(G21)</f>
        <v>35770.400000000001</v>
      </c>
    </row>
    <row r="23" spans="1:8" ht="15.75" thickBot="1" x14ac:dyDescent="0.3">
      <c r="A23" s="213" t="s">
        <v>200</v>
      </c>
      <c r="B23" s="214"/>
      <c r="G23" s="18"/>
    </row>
    <row r="24" spans="1:8" ht="15.75" thickBot="1" x14ac:dyDescent="0.3">
      <c r="A24" s="215" t="s">
        <v>206</v>
      </c>
      <c r="B24" s="216"/>
      <c r="C24" s="30" t="s">
        <v>38</v>
      </c>
      <c r="D24" s="13" t="s">
        <v>39</v>
      </c>
      <c r="E24" s="31"/>
      <c r="F24" s="13" t="s">
        <v>205</v>
      </c>
      <c r="G24" s="14" t="s">
        <v>44</v>
      </c>
    </row>
    <row r="25" spans="1:8" ht="43.5" customHeight="1" x14ac:dyDescent="0.25">
      <c r="A25" s="238" t="s">
        <v>201</v>
      </c>
      <c r="B25" s="220"/>
      <c r="C25" s="21" t="s">
        <v>202</v>
      </c>
      <c r="D25" s="48">
        <v>0.48371800000000009</v>
      </c>
      <c r="E25" s="70"/>
      <c r="F25" s="43">
        <v>60000</v>
      </c>
      <c r="G25" s="28">
        <f>+F25*D25</f>
        <v>29023.080000000005</v>
      </c>
    </row>
    <row r="26" spans="1:8" x14ac:dyDescent="0.25">
      <c r="A26" s="221"/>
      <c r="B26" s="222"/>
      <c r="C26" s="222"/>
      <c r="D26" s="222"/>
      <c r="E26" s="223"/>
      <c r="F26" s="21" t="s">
        <v>45</v>
      </c>
      <c r="G26" s="28">
        <f>SUM(G25:G25)</f>
        <v>29023.080000000005</v>
      </c>
    </row>
    <row r="27" spans="1:8" x14ac:dyDescent="0.25">
      <c r="A27" s="224"/>
      <c r="B27" s="225"/>
      <c r="C27" s="225"/>
      <c r="D27" s="225"/>
      <c r="E27" s="225"/>
      <c r="F27" s="225"/>
      <c r="G27" s="226"/>
    </row>
    <row r="28" spans="1:8" ht="15.75" thickBot="1" x14ac:dyDescent="0.3">
      <c r="A28" s="227"/>
      <c r="B28" s="228"/>
      <c r="C28" s="228"/>
      <c r="D28" s="228"/>
      <c r="E28" s="228"/>
      <c r="F28" s="228"/>
      <c r="G28" s="229"/>
    </row>
    <row r="29" spans="1:8" ht="15.75" thickBot="1" x14ac:dyDescent="0.3">
      <c r="A29" s="210" t="s">
        <v>59</v>
      </c>
      <c r="B29" s="211"/>
      <c r="C29" s="211"/>
      <c r="D29" s="211"/>
      <c r="E29" s="211"/>
      <c r="F29" s="212"/>
      <c r="G29" s="42">
        <f>+G26+G22+G18+G13</f>
        <v>66582.000000000015</v>
      </c>
      <c r="H29" s="11">
        <f>+TABACAL!E11</f>
        <v>66582</v>
      </c>
    </row>
  </sheetData>
  <mergeCells count="21">
    <mergeCell ref="A14:B14"/>
    <mergeCell ref="C14:G14"/>
    <mergeCell ref="B6:E6"/>
    <mergeCell ref="B7:E7"/>
    <mergeCell ref="A8:G8"/>
    <mergeCell ref="A11:D11"/>
    <mergeCell ref="A12:D12"/>
    <mergeCell ref="A15:C15"/>
    <mergeCell ref="A16:C16"/>
    <mergeCell ref="A17:C17"/>
    <mergeCell ref="A18:C18"/>
    <mergeCell ref="A19:B19"/>
    <mergeCell ref="C19:G19"/>
    <mergeCell ref="A27:G28"/>
    <mergeCell ref="A29:F29"/>
    <mergeCell ref="A20:B20"/>
    <mergeCell ref="A21:B21"/>
    <mergeCell ref="A23:B23"/>
    <mergeCell ref="A24:B24"/>
    <mergeCell ref="A25:B25"/>
    <mergeCell ref="A26:E2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6"/>
  <sheetViews>
    <sheetView topLeftCell="A7" workbookViewId="0">
      <selection activeCell="C14" sqref="C14:G14"/>
    </sheetView>
  </sheetViews>
  <sheetFormatPr baseColWidth="10" defaultRowHeight="15" x14ac:dyDescent="0.25"/>
  <cols>
    <col min="1" max="1" width="15.42578125" customWidth="1"/>
    <col min="2" max="2" width="17" customWidth="1"/>
    <col min="3" max="3" width="13.7109375" customWidth="1"/>
    <col min="4" max="4" width="13.140625" customWidth="1"/>
    <col min="5" max="5" width="15.140625" customWidth="1"/>
    <col min="6" max="7" width="12.5703125" bestFit="1" customWidth="1"/>
    <col min="8" max="8" width="16.28515625" bestFit="1" customWidth="1"/>
  </cols>
  <sheetData>
    <row r="5" spans="1:8" ht="15.75" thickBot="1" x14ac:dyDescent="0.3"/>
    <row r="6" spans="1:8" ht="15.75" thickBot="1" x14ac:dyDescent="0.3">
      <c r="A6" s="12" t="s">
        <v>36</v>
      </c>
      <c r="B6" s="216" t="s">
        <v>37</v>
      </c>
      <c r="C6" s="216"/>
      <c r="D6" s="216"/>
      <c r="E6" s="216"/>
      <c r="F6" s="13" t="s">
        <v>38</v>
      </c>
      <c r="G6" s="14" t="s">
        <v>39</v>
      </c>
    </row>
    <row r="7" spans="1:8" ht="101.25" customHeight="1" x14ac:dyDescent="0.25">
      <c r="A7" s="15" t="str">
        <f>+TABACAL!A13</f>
        <v>3.1</v>
      </c>
      <c r="B7" s="235" t="str">
        <f>+TABACAL!B13</f>
        <v>Construcción de techo en teja de barro. Incluye suministro e instalación de teja de barro, viga en madera de 100mm x 100mmx2mm, alfardas en madera de 50mmx100mmx2mm, lima hoyas y limatones en madera de 50mmx100mmx2mm, entre capa de eterboard de 10mm, impermeabilización en frio con permofit , colocación de mortero en remate de tejas y caballete. Medido en proyección horizontal</v>
      </c>
      <c r="C7" s="235"/>
      <c r="D7" s="235"/>
      <c r="E7" s="235"/>
      <c r="F7" s="16" t="str">
        <f>+TABACAL!C13</f>
        <v>m2</v>
      </c>
      <c r="G7" s="53">
        <f>+TABACAL!D13</f>
        <v>228.89993731427367</v>
      </c>
      <c r="H7" s="11"/>
    </row>
    <row r="8" spans="1:8" x14ac:dyDescent="0.25">
      <c r="A8" s="236"/>
      <c r="B8" s="233"/>
      <c r="C8" s="233"/>
      <c r="D8" s="233"/>
      <c r="E8" s="233"/>
      <c r="F8" s="233"/>
      <c r="G8" s="234"/>
    </row>
    <row r="9" spans="1:8" ht="15.75" thickBot="1" x14ac:dyDescent="0.3">
      <c r="A9" s="17" t="s">
        <v>40</v>
      </c>
      <c r="G9" s="18"/>
    </row>
    <row r="10" spans="1:8" ht="15.75" thickBot="1" x14ac:dyDescent="0.3">
      <c r="A10" s="19" t="s">
        <v>41</v>
      </c>
      <c r="G10" s="18"/>
    </row>
    <row r="11" spans="1:8" ht="15.75" thickBot="1" x14ac:dyDescent="0.3">
      <c r="A11" s="215" t="s">
        <v>37</v>
      </c>
      <c r="B11" s="216"/>
      <c r="C11" s="216"/>
      <c r="D11" s="216"/>
      <c r="E11" s="13" t="s">
        <v>42</v>
      </c>
      <c r="F11" s="13" t="s">
        <v>43</v>
      </c>
      <c r="G11" s="14" t="s">
        <v>44</v>
      </c>
    </row>
    <row r="12" spans="1:8" x14ac:dyDescent="0.25">
      <c r="A12" s="219" t="s">
        <v>60</v>
      </c>
      <c r="B12" s="220"/>
      <c r="C12" s="220"/>
      <c r="D12" s="220"/>
      <c r="E12" s="20"/>
      <c r="F12" s="21"/>
      <c r="G12" s="22">
        <f>0.05*G29</f>
        <v>10060.425000000001</v>
      </c>
    </row>
    <row r="13" spans="1:8" ht="15.75" thickBot="1" x14ac:dyDescent="0.3">
      <c r="A13" s="23"/>
      <c r="F13" s="21" t="s">
        <v>45</v>
      </c>
      <c r="G13" s="22">
        <f>SUM(G12:G12)</f>
        <v>10060.425000000001</v>
      </c>
    </row>
    <row r="14" spans="1:8" ht="15.75" thickBot="1" x14ac:dyDescent="0.3">
      <c r="A14" s="231" t="s">
        <v>46</v>
      </c>
      <c r="B14" s="232"/>
      <c r="C14" s="225"/>
      <c r="D14" s="225"/>
      <c r="E14" s="225"/>
      <c r="F14" s="225"/>
      <c r="G14" s="226"/>
    </row>
    <row r="15" spans="1:8" ht="15.75" thickBot="1" x14ac:dyDescent="0.3">
      <c r="A15" s="215" t="s">
        <v>37</v>
      </c>
      <c r="B15" s="216"/>
      <c r="C15" s="216"/>
      <c r="D15" s="13" t="s">
        <v>47</v>
      </c>
      <c r="E15" s="13" t="s">
        <v>3</v>
      </c>
      <c r="F15" s="13" t="s">
        <v>48</v>
      </c>
      <c r="G15" s="14" t="s">
        <v>44</v>
      </c>
    </row>
    <row r="16" spans="1:8" x14ac:dyDescent="0.25">
      <c r="A16" s="217" t="s">
        <v>207</v>
      </c>
      <c r="B16" s="218"/>
      <c r="C16" s="218"/>
      <c r="D16" s="24" t="s">
        <v>47</v>
      </c>
      <c r="E16" s="25">
        <v>12.5</v>
      </c>
      <c r="F16" s="26">
        <v>2072.8059999999964</v>
      </c>
      <c r="G16" s="27">
        <f>+E16*F16</f>
        <v>25910.074999999953</v>
      </c>
    </row>
    <row r="17" spans="1:7" x14ac:dyDescent="0.25">
      <c r="A17" s="217" t="s">
        <v>208</v>
      </c>
      <c r="B17" s="218"/>
      <c r="C17" s="218"/>
      <c r="D17" s="24" t="s">
        <v>109</v>
      </c>
      <c r="E17" s="71">
        <v>0.03</v>
      </c>
      <c r="F17" s="26">
        <v>350000</v>
      </c>
      <c r="G17" s="27">
        <f t="shared" ref="G17:G23" si="0">+E17*F17</f>
        <v>10500</v>
      </c>
    </row>
    <row r="18" spans="1:7" x14ac:dyDescent="0.25">
      <c r="A18" s="217" t="s">
        <v>209</v>
      </c>
      <c r="B18" s="218"/>
      <c r="C18" s="218"/>
      <c r="D18" s="24" t="s">
        <v>116</v>
      </c>
      <c r="E18" s="25">
        <v>0.25</v>
      </c>
      <c r="F18" s="26">
        <v>4500</v>
      </c>
      <c r="G18" s="27">
        <f t="shared" si="0"/>
        <v>1125</v>
      </c>
    </row>
    <row r="19" spans="1:7" x14ac:dyDescent="0.25">
      <c r="A19" s="217" t="s">
        <v>210</v>
      </c>
      <c r="B19" s="218"/>
      <c r="C19" s="218"/>
      <c r="D19" s="24" t="s">
        <v>11</v>
      </c>
      <c r="E19" s="25">
        <v>1</v>
      </c>
      <c r="F19" s="26">
        <v>17800</v>
      </c>
      <c r="G19" s="27">
        <f t="shared" si="0"/>
        <v>17800</v>
      </c>
    </row>
    <row r="20" spans="1:7" x14ac:dyDescent="0.25">
      <c r="A20" s="217" t="s">
        <v>212</v>
      </c>
      <c r="B20" s="218"/>
      <c r="C20" s="218"/>
      <c r="D20" s="24" t="s">
        <v>9</v>
      </c>
      <c r="E20" s="25">
        <v>1.9</v>
      </c>
      <c r="F20" s="26">
        <v>25600</v>
      </c>
      <c r="G20" s="27">
        <f t="shared" si="0"/>
        <v>48640</v>
      </c>
    </row>
    <row r="21" spans="1:7" x14ac:dyDescent="0.25">
      <c r="A21" s="217" t="s">
        <v>211</v>
      </c>
      <c r="B21" s="218"/>
      <c r="C21" s="218"/>
      <c r="D21" s="24" t="s">
        <v>9</v>
      </c>
      <c r="E21" s="25">
        <v>1</v>
      </c>
      <c r="F21" s="26">
        <v>85000</v>
      </c>
      <c r="G21" s="27">
        <f t="shared" si="0"/>
        <v>85000</v>
      </c>
    </row>
    <row r="22" spans="1:7" x14ac:dyDescent="0.25">
      <c r="A22" s="217" t="s">
        <v>213</v>
      </c>
      <c r="B22" s="218"/>
      <c r="C22" s="218"/>
      <c r="D22" s="24" t="s">
        <v>9</v>
      </c>
      <c r="E22" s="25">
        <v>1.9</v>
      </c>
      <c r="F22" s="26">
        <v>54000</v>
      </c>
      <c r="G22" s="27">
        <f t="shared" si="0"/>
        <v>102600</v>
      </c>
    </row>
    <row r="23" spans="1:7" x14ac:dyDescent="0.25">
      <c r="A23" s="217" t="s">
        <v>214</v>
      </c>
      <c r="B23" s="218"/>
      <c r="C23" s="218"/>
      <c r="D23" s="24" t="s">
        <v>11</v>
      </c>
      <c r="E23" s="25">
        <v>1</v>
      </c>
      <c r="F23" s="26">
        <v>45000</v>
      </c>
      <c r="G23" s="27">
        <f t="shared" si="0"/>
        <v>45000</v>
      </c>
    </row>
    <row r="24" spans="1:7" x14ac:dyDescent="0.25">
      <c r="A24" s="219"/>
      <c r="B24" s="220"/>
      <c r="C24" s="220"/>
      <c r="D24" s="24"/>
      <c r="E24" s="21"/>
      <c r="F24" s="20"/>
      <c r="G24" s="27"/>
    </row>
    <row r="25" spans="1:7" ht="15.75" thickBot="1" x14ac:dyDescent="0.3">
      <c r="A25" s="224"/>
      <c r="B25" s="225"/>
      <c r="C25" s="225"/>
      <c r="F25" s="21" t="s">
        <v>45</v>
      </c>
      <c r="G25" s="28">
        <f>SUM(G16:G24)</f>
        <v>336575.07499999995</v>
      </c>
    </row>
    <row r="26" spans="1:7" ht="15.75" thickBot="1" x14ac:dyDescent="0.3">
      <c r="A26" s="231" t="s">
        <v>49</v>
      </c>
      <c r="B26" s="232"/>
      <c r="C26" s="233"/>
      <c r="D26" s="233"/>
      <c r="E26" s="233"/>
      <c r="F26" s="233"/>
      <c r="G26" s="234"/>
    </row>
    <row r="27" spans="1:7" ht="15.75" thickBot="1" x14ac:dyDescent="0.3">
      <c r="A27" s="215" t="s">
        <v>50</v>
      </c>
      <c r="B27" s="216"/>
      <c r="C27" s="13" t="s">
        <v>51</v>
      </c>
      <c r="D27" s="13" t="s">
        <v>52</v>
      </c>
      <c r="E27" s="13" t="s">
        <v>53</v>
      </c>
      <c r="F27" s="13" t="s">
        <v>54</v>
      </c>
      <c r="G27" s="14" t="s">
        <v>44</v>
      </c>
    </row>
    <row r="28" spans="1:7" x14ac:dyDescent="0.25">
      <c r="A28" s="230" t="str">
        <f>+'insumos-MO'!B45</f>
        <v>Cuadrilla de construcción 1*3</v>
      </c>
      <c r="B28" s="218"/>
      <c r="C28" s="29">
        <f>+'insumos-MO'!E45</f>
        <v>402417</v>
      </c>
      <c r="D28" s="24"/>
      <c r="E28" s="29">
        <f>+C28</f>
        <v>402417</v>
      </c>
      <c r="F28" s="25">
        <v>2</v>
      </c>
      <c r="G28" s="27">
        <f>+E28/F28</f>
        <v>201208.5</v>
      </c>
    </row>
    <row r="29" spans="1:7" ht="15.75" thickBot="1" x14ac:dyDescent="0.3">
      <c r="A29" s="23"/>
      <c r="F29" s="21" t="s">
        <v>45</v>
      </c>
      <c r="G29" s="28">
        <f>SUM(G28)</f>
        <v>201208.5</v>
      </c>
    </row>
    <row r="30" spans="1:7" ht="15.75" thickBot="1" x14ac:dyDescent="0.3">
      <c r="A30" s="213" t="s">
        <v>200</v>
      </c>
      <c r="B30" s="214"/>
      <c r="G30" s="18"/>
    </row>
    <row r="31" spans="1:7" ht="15.75" thickBot="1" x14ac:dyDescent="0.3">
      <c r="A31" s="215" t="s">
        <v>206</v>
      </c>
      <c r="B31" s="216"/>
      <c r="C31" s="30" t="s">
        <v>38</v>
      </c>
      <c r="D31" s="13" t="s">
        <v>39</v>
      </c>
      <c r="E31" s="31"/>
      <c r="F31" s="13" t="s">
        <v>205</v>
      </c>
      <c r="G31" s="14" t="s">
        <v>44</v>
      </c>
    </row>
    <row r="32" spans="1:7" ht="43.5" customHeight="1" x14ac:dyDescent="0.25">
      <c r="A32" s="238" t="s">
        <v>229</v>
      </c>
      <c r="B32" s="220"/>
      <c r="C32" s="21" t="s">
        <v>33</v>
      </c>
      <c r="D32" s="48">
        <v>1</v>
      </c>
      <c r="E32" s="70"/>
      <c r="F32" s="43">
        <v>70000</v>
      </c>
      <c r="G32" s="28">
        <f>+F32*D32</f>
        <v>70000</v>
      </c>
    </row>
    <row r="33" spans="1:8" x14ac:dyDescent="0.25">
      <c r="A33" s="221"/>
      <c r="B33" s="222"/>
      <c r="C33" s="222"/>
      <c r="D33" s="222"/>
      <c r="E33" s="223"/>
      <c r="F33" s="21" t="s">
        <v>45</v>
      </c>
      <c r="G33" s="28">
        <f>SUM(G32:G32)</f>
        <v>70000</v>
      </c>
    </row>
    <row r="34" spans="1:8" x14ac:dyDescent="0.25">
      <c r="A34" s="224"/>
      <c r="B34" s="225"/>
      <c r="C34" s="225"/>
      <c r="D34" s="225"/>
      <c r="E34" s="225"/>
      <c r="F34" s="225"/>
      <c r="G34" s="226"/>
    </row>
    <row r="35" spans="1:8" ht="15.75" thickBot="1" x14ac:dyDescent="0.3">
      <c r="A35" s="227"/>
      <c r="B35" s="228"/>
      <c r="C35" s="228"/>
      <c r="D35" s="228"/>
      <c r="E35" s="228"/>
      <c r="F35" s="228"/>
      <c r="G35" s="229"/>
    </row>
    <row r="36" spans="1:8" ht="15.75" thickBot="1" x14ac:dyDescent="0.3">
      <c r="A36" s="210" t="s">
        <v>59</v>
      </c>
      <c r="B36" s="211"/>
      <c r="C36" s="211"/>
      <c r="D36" s="211"/>
      <c r="E36" s="211"/>
      <c r="F36" s="212"/>
      <c r="G36" s="42">
        <f>+G33+G29+G25+G13</f>
        <v>617844</v>
      </c>
      <c r="H36" s="11">
        <f>+TABACAL!E13</f>
        <v>617844</v>
      </c>
    </row>
  </sheetData>
  <mergeCells count="28">
    <mergeCell ref="A14:B14"/>
    <mergeCell ref="C14:G14"/>
    <mergeCell ref="B6:E6"/>
    <mergeCell ref="B7:E7"/>
    <mergeCell ref="A8:G8"/>
    <mergeCell ref="A11:D11"/>
    <mergeCell ref="A12:D12"/>
    <mergeCell ref="A15:C15"/>
    <mergeCell ref="A16:C16"/>
    <mergeCell ref="A24:C24"/>
    <mergeCell ref="A25:C25"/>
    <mergeCell ref="A26:B26"/>
    <mergeCell ref="C26:G26"/>
    <mergeCell ref="A34:G35"/>
    <mergeCell ref="A36:F36"/>
    <mergeCell ref="A17:C17"/>
    <mergeCell ref="A18:C18"/>
    <mergeCell ref="A19:C19"/>
    <mergeCell ref="A20:C20"/>
    <mergeCell ref="A21:C21"/>
    <mergeCell ref="A22:C22"/>
    <mergeCell ref="A23:C23"/>
    <mergeCell ref="A27:B27"/>
    <mergeCell ref="A28:B28"/>
    <mergeCell ref="A30:B30"/>
    <mergeCell ref="A31:B31"/>
    <mergeCell ref="A32:B32"/>
    <mergeCell ref="A33:E33"/>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1"/>
  <sheetViews>
    <sheetView topLeftCell="A13" workbookViewId="0">
      <selection activeCell="C21" sqref="C21:G21"/>
    </sheetView>
  </sheetViews>
  <sheetFormatPr baseColWidth="10" defaultRowHeight="15" x14ac:dyDescent="0.25"/>
  <cols>
    <col min="1" max="1" width="15.42578125" customWidth="1"/>
    <col min="2" max="2" width="17" customWidth="1"/>
    <col min="3" max="3" width="13.7109375" customWidth="1"/>
    <col min="4" max="4" width="13.140625" customWidth="1"/>
    <col min="5" max="5" width="15.140625" customWidth="1"/>
    <col min="6"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65.25" customHeight="1" x14ac:dyDescent="0.25">
      <c r="A7" s="15" t="str">
        <f>+TABACAL!A14</f>
        <v>3.2</v>
      </c>
      <c r="B7" s="235" t="str">
        <f>+TABACAL!B14</f>
        <v>SUMINISTO, TRANSPORTE E INSTALACION DE CANOA EN LAMINA GALVANIZADA Cal .24 d/ 0.60 m. (Suministro e instalación con 2 manos de anticorrosivo WASH PRIMER + esmalte + anclaje a muro + sikaflex 1A) Color por definir por interventoría</v>
      </c>
      <c r="C7" s="235"/>
      <c r="D7" s="235"/>
      <c r="E7" s="235"/>
      <c r="F7" s="16" t="str">
        <f>+TABACAL!C14</f>
        <v>ml</v>
      </c>
      <c r="G7" s="53">
        <f>+TABACAL!D14</f>
        <v>206.86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0.05*G24</f>
        <v>1397.28125</v>
      </c>
    </row>
    <row r="13" spans="1:7" ht="15.75" thickBot="1" x14ac:dyDescent="0.3">
      <c r="A13" s="23"/>
      <c r="F13" s="21" t="s">
        <v>45</v>
      </c>
      <c r="G13" s="22">
        <f>SUM(G12:G12)</f>
        <v>1397.28125</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t="s">
        <v>215</v>
      </c>
      <c r="B16" s="218"/>
      <c r="C16" s="218"/>
      <c r="D16" s="24" t="s">
        <v>19</v>
      </c>
      <c r="E16" s="25">
        <v>1</v>
      </c>
      <c r="F16" s="26">
        <v>42000</v>
      </c>
      <c r="G16" s="27">
        <f>+E16*F16</f>
        <v>42000</v>
      </c>
    </row>
    <row r="17" spans="1:8" x14ac:dyDescent="0.25">
      <c r="A17" s="217" t="s">
        <v>217</v>
      </c>
      <c r="B17" s="218"/>
      <c r="C17" s="218"/>
      <c r="D17" s="24" t="s">
        <v>47</v>
      </c>
      <c r="E17" s="25">
        <v>0.15</v>
      </c>
      <c r="F17" s="26">
        <v>51900</v>
      </c>
      <c r="G17" s="27">
        <f>+F17*E17</f>
        <v>7785</v>
      </c>
    </row>
    <row r="18" spans="1:8" x14ac:dyDescent="0.25">
      <c r="A18" s="217" t="s">
        <v>216</v>
      </c>
      <c r="B18" s="218"/>
      <c r="C18" s="218"/>
      <c r="D18" s="24" t="s">
        <v>47</v>
      </c>
      <c r="E18" s="25">
        <v>1</v>
      </c>
      <c r="F18" s="26">
        <v>16500</v>
      </c>
      <c r="G18" s="27">
        <f>+F18*E18</f>
        <v>16500</v>
      </c>
    </row>
    <row r="19" spans="1:8" ht="12.75" customHeight="1" x14ac:dyDescent="0.25">
      <c r="A19" s="219" t="s">
        <v>218</v>
      </c>
      <c r="B19" s="220"/>
      <c r="C19" s="220"/>
      <c r="D19" s="24" t="s">
        <v>47</v>
      </c>
      <c r="E19" s="70">
        <v>0.11976280120481954</v>
      </c>
      <c r="F19" s="20">
        <v>24900</v>
      </c>
      <c r="G19" s="27">
        <f>+F19*E19</f>
        <v>2982.0937500000064</v>
      </c>
    </row>
    <row r="20" spans="1:8" ht="15.75" thickBot="1" x14ac:dyDescent="0.3">
      <c r="A20" s="224"/>
      <c r="B20" s="225"/>
      <c r="C20" s="225"/>
      <c r="F20" s="21" t="s">
        <v>45</v>
      </c>
      <c r="G20" s="28">
        <f>SUM(G16:G19)</f>
        <v>69267.09375</v>
      </c>
    </row>
    <row r="21" spans="1:8" ht="15.75" thickBot="1" x14ac:dyDescent="0.3">
      <c r="A21" s="231" t="s">
        <v>49</v>
      </c>
      <c r="B21" s="232"/>
      <c r="C21" s="233"/>
      <c r="D21" s="233"/>
      <c r="E21" s="233"/>
      <c r="F21" s="233"/>
      <c r="G21" s="234"/>
    </row>
    <row r="22" spans="1:8" ht="15.75" thickBot="1" x14ac:dyDescent="0.3">
      <c r="A22" s="215" t="s">
        <v>50</v>
      </c>
      <c r="B22" s="216"/>
      <c r="C22" s="13" t="s">
        <v>51</v>
      </c>
      <c r="D22" s="13" t="s">
        <v>52</v>
      </c>
      <c r="E22" s="13" t="s">
        <v>53</v>
      </c>
      <c r="F22" s="13" t="s">
        <v>54</v>
      </c>
      <c r="G22" s="14" t="s">
        <v>44</v>
      </c>
    </row>
    <row r="23" spans="1:8" x14ac:dyDescent="0.25">
      <c r="A23" s="230" t="str">
        <f>+'insumos-MO'!B43</f>
        <v>Cuadrilla de construcción 1*1</v>
      </c>
      <c r="B23" s="218"/>
      <c r="C23" s="29">
        <f>+'insumos-MO'!E43</f>
        <v>223565</v>
      </c>
      <c r="D23" s="24"/>
      <c r="E23" s="29">
        <f>+C23</f>
        <v>223565</v>
      </c>
      <c r="F23" s="25">
        <v>8</v>
      </c>
      <c r="G23" s="27">
        <f>+E23/F23</f>
        <v>27945.625</v>
      </c>
    </row>
    <row r="24" spans="1:8" ht="15.75" thickBot="1" x14ac:dyDescent="0.3">
      <c r="A24" s="23"/>
      <c r="F24" s="21" t="s">
        <v>45</v>
      </c>
      <c r="G24" s="28">
        <f>SUM(G23)</f>
        <v>27945.625</v>
      </c>
    </row>
    <row r="25" spans="1:8" ht="15.75" thickBot="1" x14ac:dyDescent="0.3">
      <c r="A25" s="213" t="s">
        <v>200</v>
      </c>
      <c r="B25" s="214"/>
      <c r="G25" s="18"/>
    </row>
    <row r="26" spans="1:8" ht="15.75" thickBot="1" x14ac:dyDescent="0.3">
      <c r="A26" s="215" t="s">
        <v>206</v>
      </c>
      <c r="B26" s="216"/>
      <c r="C26" s="30" t="s">
        <v>38</v>
      </c>
      <c r="D26" s="13" t="s">
        <v>39</v>
      </c>
      <c r="E26" s="31"/>
      <c r="F26" s="13" t="s">
        <v>205</v>
      </c>
      <c r="G26" s="14" t="s">
        <v>44</v>
      </c>
    </row>
    <row r="27" spans="1:8" ht="43.5" customHeight="1" x14ac:dyDescent="0.25">
      <c r="A27" s="238"/>
      <c r="B27" s="220"/>
      <c r="C27" s="21"/>
      <c r="D27" s="48"/>
      <c r="E27" s="70"/>
      <c r="F27" s="43"/>
      <c r="G27" s="28"/>
    </row>
    <row r="28" spans="1:8" x14ac:dyDescent="0.25">
      <c r="A28" s="221"/>
      <c r="B28" s="222"/>
      <c r="C28" s="222"/>
      <c r="D28" s="222"/>
      <c r="E28" s="223"/>
      <c r="F28" s="21" t="s">
        <v>45</v>
      </c>
      <c r="G28" s="28">
        <f>SUM(G27:G27)</f>
        <v>0</v>
      </c>
    </row>
    <row r="29" spans="1:8" x14ac:dyDescent="0.25">
      <c r="A29" s="224"/>
      <c r="B29" s="225"/>
      <c r="C29" s="225"/>
      <c r="D29" s="225"/>
      <c r="E29" s="225"/>
      <c r="F29" s="225"/>
      <c r="G29" s="226"/>
    </row>
    <row r="30" spans="1:8" ht="15.75" thickBot="1" x14ac:dyDescent="0.3">
      <c r="A30" s="227"/>
      <c r="B30" s="228"/>
      <c r="C30" s="228"/>
      <c r="D30" s="228"/>
      <c r="E30" s="228"/>
      <c r="F30" s="228"/>
      <c r="G30" s="229"/>
    </row>
    <row r="31" spans="1:8" ht="15.75" thickBot="1" x14ac:dyDescent="0.3">
      <c r="A31" s="210" t="s">
        <v>59</v>
      </c>
      <c r="B31" s="211"/>
      <c r="C31" s="211"/>
      <c r="D31" s="211"/>
      <c r="E31" s="211"/>
      <c r="F31" s="212"/>
      <c r="G31" s="42">
        <f>+G28+G24+G20+G13</f>
        <v>98610</v>
      </c>
      <c r="H31" s="11">
        <f>+TABACAL!E14</f>
        <v>98610</v>
      </c>
    </row>
  </sheetData>
  <mergeCells count="23">
    <mergeCell ref="A15:C15"/>
    <mergeCell ref="A16:C16"/>
    <mergeCell ref="B6:E6"/>
    <mergeCell ref="B7:E7"/>
    <mergeCell ref="A8:G8"/>
    <mergeCell ref="A11:D11"/>
    <mergeCell ref="A12:D12"/>
    <mergeCell ref="A14:B14"/>
    <mergeCell ref="C14:G14"/>
    <mergeCell ref="A17:C17"/>
    <mergeCell ref="A19:C19"/>
    <mergeCell ref="A20:C20"/>
    <mergeCell ref="A21:B21"/>
    <mergeCell ref="C21:G21"/>
    <mergeCell ref="A29:G30"/>
    <mergeCell ref="A31:F31"/>
    <mergeCell ref="A18:C18"/>
    <mergeCell ref="A22:B22"/>
    <mergeCell ref="A23:B23"/>
    <mergeCell ref="A25:B25"/>
    <mergeCell ref="A26:B26"/>
    <mergeCell ref="A27:B27"/>
    <mergeCell ref="A28:E28"/>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0"/>
  <sheetViews>
    <sheetView topLeftCell="A13" workbookViewId="0">
      <selection activeCell="C20" sqref="C20:G20"/>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80.25" customHeight="1" x14ac:dyDescent="0.25">
      <c r="A7" s="15" t="str">
        <f>+TABACAL!A15</f>
        <v>3.3</v>
      </c>
      <c r="B7" s="235" t="str">
        <f>+TABACAL!B15</f>
        <v>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v>
      </c>
      <c r="C7" s="235"/>
      <c r="D7" s="235"/>
      <c r="E7" s="235"/>
      <c r="F7" s="16" t="str">
        <f>+TABACAL!C14</f>
        <v>ml</v>
      </c>
      <c r="G7" s="53">
        <f>+TABACAL!D15</f>
        <v>15.55</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0.05*G23</f>
        <v>859.86538461538464</v>
      </c>
    </row>
    <row r="13" spans="1:7" ht="15.75" thickBot="1" x14ac:dyDescent="0.3">
      <c r="A13" s="23"/>
      <c r="F13" s="21" t="s">
        <v>45</v>
      </c>
      <c r="G13" s="22">
        <f>SUM(G12:G12)</f>
        <v>859.86538461538464</v>
      </c>
    </row>
    <row r="14" spans="1:7" ht="15.75" thickBot="1" x14ac:dyDescent="0.3">
      <c r="A14" s="231" t="s">
        <v>46</v>
      </c>
      <c r="B14" s="232"/>
      <c r="C14" s="225"/>
      <c r="D14" s="225"/>
      <c r="E14" s="225"/>
      <c r="F14" s="225"/>
      <c r="G14" s="226"/>
    </row>
    <row r="15" spans="1:7" ht="15.75" thickBot="1" x14ac:dyDescent="0.3">
      <c r="A15" s="215" t="s">
        <v>37</v>
      </c>
      <c r="B15" s="216"/>
      <c r="C15" s="216"/>
      <c r="D15" s="13" t="s">
        <v>47</v>
      </c>
      <c r="E15" s="13" t="s">
        <v>3</v>
      </c>
      <c r="F15" s="13" t="s">
        <v>48</v>
      </c>
      <c r="G15" s="14" t="s">
        <v>44</v>
      </c>
    </row>
    <row r="16" spans="1:7" x14ac:dyDescent="0.25">
      <c r="A16" s="217" t="s">
        <v>219</v>
      </c>
      <c r="B16" s="218"/>
      <c r="C16" s="218"/>
      <c r="D16" s="24" t="s">
        <v>47</v>
      </c>
      <c r="E16" s="72">
        <v>0.4</v>
      </c>
      <c r="F16" s="26">
        <v>95409.976611226608</v>
      </c>
      <c r="G16" s="27">
        <f>+E16*F16</f>
        <v>38163.990644490645</v>
      </c>
    </row>
    <row r="17" spans="1:8" x14ac:dyDescent="0.25">
      <c r="A17" s="217" t="s">
        <v>220</v>
      </c>
      <c r="B17" s="218"/>
      <c r="C17" s="218"/>
      <c r="D17" s="24" t="s">
        <v>109</v>
      </c>
      <c r="E17" s="25">
        <v>8.1995322245322442E-3</v>
      </c>
      <c r="F17" s="26">
        <v>350000</v>
      </c>
      <c r="G17" s="27">
        <f>+F17*E17</f>
        <v>2869.8362785862855</v>
      </c>
    </row>
    <row r="18" spans="1:8" ht="12.75" customHeight="1" x14ac:dyDescent="0.25">
      <c r="A18" s="219" t="s">
        <v>218</v>
      </c>
      <c r="B18" s="220"/>
      <c r="C18" s="220"/>
      <c r="D18" s="24" t="s">
        <v>47</v>
      </c>
      <c r="E18" s="70">
        <v>0.09</v>
      </c>
      <c r="F18" s="20">
        <v>24900</v>
      </c>
      <c r="G18" s="27">
        <f>+F18*E18</f>
        <v>2241</v>
      </c>
    </row>
    <row r="19" spans="1:8" ht="15.75" thickBot="1" x14ac:dyDescent="0.3">
      <c r="A19" s="224"/>
      <c r="B19" s="225"/>
      <c r="C19" s="225"/>
      <c r="F19" s="21" t="s">
        <v>45</v>
      </c>
      <c r="G19" s="28">
        <f>SUM(G16:G18)</f>
        <v>43274.826923076929</v>
      </c>
    </row>
    <row r="20" spans="1:8" ht="15.75" thickBot="1" x14ac:dyDescent="0.3">
      <c r="A20" s="231" t="s">
        <v>49</v>
      </c>
      <c r="B20" s="232"/>
      <c r="C20" s="233"/>
      <c r="D20" s="233"/>
      <c r="E20" s="233"/>
      <c r="F20" s="233"/>
      <c r="G20" s="234"/>
    </row>
    <row r="21" spans="1:8" ht="15.75" thickBot="1" x14ac:dyDescent="0.3">
      <c r="A21" s="215" t="s">
        <v>50</v>
      </c>
      <c r="B21" s="216"/>
      <c r="C21" s="13" t="s">
        <v>51</v>
      </c>
      <c r="D21" s="13" t="s">
        <v>52</v>
      </c>
      <c r="E21" s="13" t="s">
        <v>53</v>
      </c>
      <c r="F21" s="13" t="s">
        <v>54</v>
      </c>
      <c r="G21" s="14" t="s">
        <v>44</v>
      </c>
    </row>
    <row r="22" spans="1:8" x14ac:dyDescent="0.25">
      <c r="A22" s="230" t="str">
        <f>+'insumos-MO'!B43</f>
        <v>Cuadrilla de construcción 1*1</v>
      </c>
      <c r="B22" s="218"/>
      <c r="C22" s="29">
        <f>+'insumos-MO'!E43</f>
        <v>223565</v>
      </c>
      <c r="D22" s="24"/>
      <c r="E22" s="29">
        <f>+C22</f>
        <v>223565</v>
      </c>
      <c r="F22" s="25">
        <v>13</v>
      </c>
      <c r="G22" s="27">
        <f>+E22/F22</f>
        <v>17197.307692307691</v>
      </c>
    </row>
    <row r="23" spans="1:8" ht="15.75" thickBot="1" x14ac:dyDescent="0.3">
      <c r="A23" s="23"/>
      <c r="F23" s="21" t="s">
        <v>45</v>
      </c>
      <c r="G23" s="28">
        <f>SUM(G22)</f>
        <v>17197.307692307691</v>
      </c>
    </row>
    <row r="24" spans="1:8" ht="15.75" thickBot="1" x14ac:dyDescent="0.3">
      <c r="A24" s="213" t="s">
        <v>200</v>
      </c>
      <c r="B24" s="214"/>
      <c r="G24" s="18"/>
    </row>
    <row r="25" spans="1:8" ht="15.75" thickBot="1" x14ac:dyDescent="0.3">
      <c r="A25" s="215" t="s">
        <v>206</v>
      </c>
      <c r="B25" s="216"/>
      <c r="C25" s="30" t="s">
        <v>38</v>
      </c>
      <c r="D25" s="13" t="s">
        <v>39</v>
      </c>
      <c r="E25" s="31"/>
      <c r="F25" s="13" t="s">
        <v>205</v>
      </c>
      <c r="G25" s="14" t="s">
        <v>44</v>
      </c>
    </row>
    <row r="26" spans="1:8" ht="43.5" customHeight="1" x14ac:dyDescent="0.25">
      <c r="A26" s="238"/>
      <c r="B26" s="220"/>
      <c r="C26" s="21"/>
      <c r="D26" s="48"/>
      <c r="E26" s="70"/>
      <c r="F26" s="43"/>
      <c r="G26" s="28"/>
    </row>
    <row r="27" spans="1:8" x14ac:dyDescent="0.25">
      <c r="A27" s="221"/>
      <c r="B27" s="222"/>
      <c r="C27" s="222"/>
      <c r="D27" s="222"/>
      <c r="E27" s="223"/>
      <c r="F27" s="21" t="s">
        <v>45</v>
      </c>
      <c r="G27" s="28">
        <f>SUM(G26:G26)</f>
        <v>0</v>
      </c>
    </row>
    <row r="28" spans="1:8" x14ac:dyDescent="0.25">
      <c r="A28" s="224"/>
      <c r="B28" s="225"/>
      <c r="C28" s="225"/>
      <c r="D28" s="225"/>
      <c r="E28" s="225"/>
      <c r="F28" s="225"/>
      <c r="G28" s="226"/>
    </row>
    <row r="29" spans="1:8" ht="15.75" thickBot="1" x14ac:dyDescent="0.3">
      <c r="A29" s="227"/>
      <c r="B29" s="228"/>
      <c r="C29" s="228"/>
      <c r="D29" s="228"/>
      <c r="E29" s="228"/>
      <c r="F29" s="228"/>
      <c r="G29" s="229"/>
    </row>
    <row r="30" spans="1:8" ht="15.75" thickBot="1" x14ac:dyDescent="0.3">
      <c r="A30" s="210" t="s">
        <v>59</v>
      </c>
      <c r="B30" s="211"/>
      <c r="C30" s="211"/>
      <c r="D30" s="211"/>
      <c r="E30" s="211"/>
      <c r="F30" s="212"/>
      <c r="G30" s="42">
        <f>+G27+G23+G19+G13</f>
        <v>61332.000000000007</v>
      </c>
      <c r="H30" s="11">
        <f>+TABACAL!E15</f>
        <v>61332</v>
      </c>
    </row>
  </sheetData>
  <mergeCells count="22">
    <mergeCell ref="A14:B14"/>
    <mergeCell ref="C14:G14"/>
    <mergeCell ref="B6:E6"/>
    <mergeCell ref="B7:E7"/>
    <mergeCell ref="A8:G8"/>
    <mergeCell ref="A11:D11"/>
    <mergeCell ref="A12:D12"/>
    <mergeCell ref="A15:C15"/>
    <mergeCell ref="A16:C16"/>
    <mergeCell ref="A17:C17"/>
    <mergeCell ref="A18:C18"/>
    <mergeCell ref="A19:C19"/>
    <mergeCell ref="A26:B26"/>
    <mergeCell ref="A27:E27"/>
    <mergeCell ref="A28:G29"/>
    <mergeCell ref="A30:F30"/>
    <mergeCell ref="A20:B20"/>
    <mergeCell ref="C20:G20"/>
    <mergeCell ref="A21:B21"/>
    <mergeCell ref="A22:B22"/>
    <mergeCell ref="A24:B24"/>
    <mergeCell ref="A25:B25"/>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31"/>
  <sheetViews>
    <sheetView topLeftCell="A24" workbookViewId="0">
      <selection activeCell="G32" sqref="G32"/>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80.25" customHeight="1" x14ac:dyDescent="0.25">
      <c r="A7" s="15" t="str">
        <f>+TABACAL!A17</f>
        <v>4.1</v>
      </c>
      <c r="B7" s="235" t="str">
        <f>+TABACAL!B17</f>
        <v>Aplicación pintura vinilo tipo 1, a tres manos, en espacios internos de las áreas donde se realizará la intervención y el mantenimiento. Incluye:   Limpieza. preparación de la superficie. acabado final con pintura tipo viniltex color blanco calidad Pintuco o similar que cumpla la norma Icontec. la aplicación se hará con rodillo y brocha</v>
      </c>
      <c r="C7" s="235"/>
      <c r="D7" s="235"/>
      <c r="E7" s="235"/>
      <c r="F7" s="16" t="str">
        <f>+TABACAL!C17</f>
        <v>m2</v>
      </c>
      <c r="G7" s="53">
        <f>+TABACAL!D17</f>
        <v>624.05999999999995</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08" t="s">
        <v>37</v>
      </c>
      <c r="B11" s="209"/>
      <c r="C11" s="209"/>
      <c r="D11" s="239"/>
      <c r="E11" s="13" t="s">
        <v>42</v>
      </c>
      <c r="F11" s="13" t="s">
        <v>43</v>
      </c>
      <c r="G11" s="14" t="s">
        <v>44</v>
      </c>
    </row>
    <row r="12" spans="1:7" x14ac:dyDescent="0.25">
      <c r="A12" s="240" t="s">
        <v>111</v>
      </c>
      <c r="B12" s="241"/>
      <c r="C12" s="242"/>
      <c r="D12" s="73"/>
      <c r="E12" s="20">
        <v>15400</v>
      </c>
      <c r="F12" s="48">
        <f>1/20</f>
        <v>0.05</v>
      </c>
      <c r="G12" s="22">
        <f>+F12*E12</f>
        <v>770</v>
      </c>
    </row>
    <row r="13" spans="1:7" x14ac:dyDescent="0.25">
      <c r="A13" s="219" t="s">
        <v>60</v>
      </c>
      <c r="B13" s="220"/>
      <c r="C13" s="220"/>
      <c r="D13" s="220"/>
      <c r="E13" s="20"/>
      <c r="F13" s="21"/>
      <c r="G13" s="22">
        <f>0.05*G24</f>
        <v>709.73015873630766</v>
      </c>
    </row>
    <row r="14" spans="1:7" ht="15.75" thickBot="1" x14ac:dyDescent="0.3">
      <c r="A14" s="23"/>
      <c r="F14" s="21" t="s">
        <v>45</v>
      </c>
      <c r="G14" s="22">
        <f>SUM(G12:G13)</f>
        <v>1479.7301587363077</v>
      </c>
    </row>
    <row r="15" spans="1:7" ht="15.75" thickBot="1" x14ac:dyDescent="0.3">
      <c r="A15" s="243" t="s">
        <v>46</v>
      </c>
      <c r="B15" s="244"/>
      <c r="C15" s="227"/>
      <c r="D15" s="228"/>
      <c r="E15" s="228"/>
      <c r="F15" s="228"/>
      <c r="G15" s="229"/>
    </row>
    <row r="16" spans="1:7" ht="15.75" thickBot="1" x14ac:dyDescent="0.3">
      <c r="A16" s="208" t="s">
        <v>37</v>
      </c>
      <c r="B16" s="209"/>
      <c r="C16" s="239"/>
      <c r="D16" s="13" t="s">
        <v>47</v>
      </c>
      <c r="E16" s="13" t="s">
        <v>3</v>
      </c>
      <c r="F16" s="13" t="s">
        <v>48</v>
      </c>
      <c r="G16" s="14" t="s">
        <v>44</v>
      </c>
    </row>
    <row r="17" spans="1:8" x14ac:dyDescent="0.25">
      <c r="A17" s="220" t="s">
        <v>112</v>
      </c>
      <c r="B17" s="220"/>
      <c r="C17" s="220"/>
      <c r="D17" s="21" t="s">
        <v>113</v>
      </c>
      <c r="E17" s="70">
        <f>1/15</f>
        <v>6.6666666666666666E-2</v>
      </c>
      <c r="F17" s="20">
        <v>80859.999999999985</v>
      </c>
      <c r="G17" s="27">
        <f>+F17*E17</f>
        <v>5390.6666666666661</v>
      </c>
    </row>
    <row r="18" spans="1:8" x14ac:dyDescent="0.25">
      <c r="A18" s="73"/>
      <c r="B18" s="74"/>
      <c r="C18" s="75"/>
      <c r="D18" s="24"/>
      <c r="E18" s="25"/>
      <c r="F18" s="26"/>
      <c r="G18" s="27">
        <f>+F18*E18</f>
        <v>0</v>
      </c>
    </row>
    <row r="19" spans="1:8" ht="12.75" customHeight="1" x14ac:dyDescent="0.25">
      <c r="A19" s="240"/>
      <c r="B19" s="241"/>
      <c r="C19" s="242"/>
      <c r="D19" s="24"/>
      <c r="E19" s="70"/>
      <c r="F19" s="20"/>
      <c r="G19" s="27">
        <f>+F19*E19</f>
        <v>0</v>
      </c>
    </row>
    <row r="20" spans="1:8" ht="15.75" thickBot="1" x14ac:dyDescent="0.3">
      <c r="A20" s="221"/>
      <c r="B20" s="222"/>
      <c r="C20" s="222"/>
      <c r="F20" s="21" t="s">
        <v>45</v>
      </c>
      <c r="G20" s="28">
        <f>SUM(G17:G19)</f>
        <v>5390.6666666666661</v>
      </c>
    </row>
    <row r="21" spans="1:8" ht="15.75" thickBot="1" x14ac:dyDescent="0.3">
      <c r="A21" s="243" t="s">
        <v>49</v>
      </c>
      <c r="B21" s="244"/>
      <c r="C21" s="245"/>
      <c r="D21" s="246"/>
      <c r="E21" s="246"/>
      <c r="F21" s="246"/>
      <c r="G21" s="247"/>
    </row>
    <row r="22" spans="1:8" ht="15.75" thickBot="1" x14ac:dyDescent="0.3">
      <c r="A22" s="208" t="s">
        <v>50</v>
      </c>
      <c r="B22" s="239"/>
      <c r="C22" s="13" t="s">
        <v>51</v>
      </c>
      <c r="D22" s="13" t="s">
        <v>52</v>
      </c>
      <c r="E22" s="13" t="s">
        <v>53</v>
      </c>
      <c r="F22" s="13" t="s">
        <v>54</v>
      </c>
      <c r="G22" s="14" t="s">
        <v>44</v>
      </c>
    </row>
    <row r="23" spans="1:8" x14ac:dyDescent="0.25">
      <c r="A23" s="248" t="str">
        <f>+'insumos-MO'!B43</f>
        <v>Cuadrilla de construcción 1*1</v>
      </c>
      <c r="B23" s="249"/>
      <c r="C23" s="29">
        <f>+'insumos-MO'!E43</f>
        <v>223565</v>
      </c>
      <c r="D23" s="24"/>
      <c r="E23" s="29">
        <f>+C23</f>
        <v>223565</v>
      </c>
      <c r="F23" s="25">
        <v>15.749999999863546</v>
      </c>
      <c r="G23" s="27">
        <f>+E23/F23</f>
        <v>14194.603174726153</v>
      </c>
    </row>
    <row r="24" spans="1:8" ht="15.75" thickBot="1" x14ac:dyDescent="0.3">
      <c r="A24" s="23"/>
      <c r="F24" s="21" t="s">
        <v>45</v>
      </c>
      <c r="G24" s="28">
        <f>SUM(G23)</f>
        <v>14194.603174726153</v>
      </c>
    </row>
    <row r="25" spans="1:8" ht="15.75" thickBot="1" x14ac:dyDescent="0.3">
      <c r="A25" s="243" t="s">
        <v>200</v>
      </c>
      <c r="B25" s="244"/>
      <c r="G25" s="18"/>
    </row>
    <row r="26" spans="1:8" ht="15.75" thickBot="1" x14ac:dyDescent="0.3">
      <c r="A26" s="208" t="s">
        <v>206</v>
      </c>
      <c r="B26" s="239"/>
      <c r="C26" s="30" t="s">
        <v>38</v>
      </c>
      <c r="D26" s="13" t="s">
        <v>39</v>
      </c>
      <c r="E26" s="31"/>
      <c r="F26" s="13" t="s">
        <v>205</v>
      </c>
      <c r="G26" s="14" t="s">
        <v>44</v>
      </c>
    </row>
    <row r="27" spans="1:8" ht="43.5" customHeight="1" x14ac:dyDescent="0.25">
      <c r="A27" s="250"/>
      <c r="B27" s="251"/>
      <c r="C27" s="21"/>
      <c r="D27" s="48"/>
      <c r="E27" s="70"/>
      <c r="F27" s="43"/>
      <c r="G27" s="28"/>
    </row>
    <row r="28" spans="1:8" x14ac:dyDescent="0.25">
      <c r="A28" s="221"/>
      <c r="B28" s="222"/>
      <c r="C28" s="222"/>
      <c r="D28" s="222"/>
      <c r="E28" s="223"/>
      <c r="F28" s="21" t="s">
        <v>45</v>
      </c>
      <c r="G28" s="28">
        <f>SUM(G27:G27)</f>
        <v>0</v>
      </c>
    </row>
    <row r="29" spans="1:8" x14ac:dyDescent="0.25">
      <c r="A29" s="224"/>
      <c r="B29" s="225"/>
      <c r="C29" s="225"/>
      <c r="D29" s="225"/>
      <c r="E29" s="225"/>
      <c r="F29" s="225"/>
      <c r="G29" s="226"/>
    </row>
    <row r="30" spans="1:8" ht="15.75" thickBot="1" x14ac:dyDescent="0.3">
      <c r="A30" s="227"/>
      <c r="B30" s="228"/>
      <c r="C30" s="228"/>
      <c r="D30" s="228"/>
      <c r="E30" s="228"/>
      <c r="F30" s="228"/>
      <c r="G30" s="229"/>
    </row>
    <row r="31" spans="1:8" ht="15.75" thickBot="1" x14ac:dyDescent="0.3">
      <c r="A31" s="210" t="s">
        <v>59</v>
      </c>
      <c r="B31" s="211"/>
      <c r="C31" s="211"/>
      <c r="D31" s="211"/>
      <c r="E31" s="211"/>
      <c r="F31" s="212"/>
      <c r="G31" s="42">
        <f>+G28+G24+G20+G14</f>
        <v>21065.000000129126</v>
      </c>
      <c r="H31" s="11">
        <f>+TABACAL!E17</f>
        <v>21065</v>
      </c>
    </row>
  </sheetData>
  <mergeCells count="22">
    <mergeCell ref="B6:E6"/>
    <mergeCell ref="B7:E7"/>
    <mergeCell ref="A8:G8"/>
    <mergeCell ref="A11:D11"/>
    <mergeCell ref="A15:B15"/>
    <mergeCell ref="C15:G15"/>
    <mergeCell ref="A12:C12"/>
    <mergeCell ref="A13:D13"/>
    <mergeCell ref="A29:G30"/>
    <mergeCell ref="A31:F31"/>
    <mergeCell ref="A22:B22"/>
    <mergeCell ref="A23:B23"/>
    <mergeCell ref="A25:B25"/>
    <mergeCell ref="A26:B26"/>
    <mergeCell ref="A27:B27"/>
    <mergeCell ref="A28:E28"/>
    <mergeCell ref="A16:C16"/>
    <mergeCell ref="A17:C17"/>
    <mergeCell ref="A19:C19"/>
    <mergeCell ref="A20:C20"/>
    <mergeCell ref="A21:B21"/>
    <mergeCell ref="C21:G21"/>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0"/>
  <sheetViews>
    <sheetView topLeftCell="A19" workbookViewId="0">
      <selection activeCell="C15" sqref="C15:G15"/>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70.5" customHeight="1" x14ac:dyDescent="0.25">
      <c r="A7" s="15" t="str">
        <f>+TABACAL!A18</f>
        <v>4.2</v>
      </c>
      <c r="B7" s="235" t="str">
        <f>+TABACAL!B18</f>
        <v>Colocación de REVOQUE con mortero 1:4 IMPERMEABILIZADO con Sika 1 o equivalente. Incluye suministro y transporte de los materiales, ranuras, filetes, y todos los demás elementos necesarios para su correcta construcción.</v>
      </c>
      <c r="C7" s="235"/>
      <c r="D7" s="235"/>
      <c r="E7" s="235"/>
      <c r="F7" s="16" t="str">
        <f>+TABACAL!C18</f>
        <v>m2</v>
      </c>
      <c r="G7" s="53">
        <f>+TABACAL!D18</f>
        <v>224.12</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111</v>
      </c>
      <c r="B12" s="220"/>
      <c r="C12" s="220"/>
      <c r="D12" s="220"/>
      <c r="E12" s="20">
        <v>11500</v>
      </c>
      <c r="F12" s="48">
        <f>1/10</f>
        <v>0.1</v>
      </c>
      <c r="G12" s="22">
        <f>+E12*F12</f>
        <v>1150</v>
      </c>
    </row>
    <row r="13" spans="1:7" x14ac:dyDescent="0.25">
      <c r="A13" s="219" t="s">
        <v>60</v>
      </c>
      <c r="B13" s="220"/>
      <c r="C13" s="220"/>
      <c r="D13" s="220"/>
      <c r="E13" s="20"/>
      <c r="F13" s="21"/>
      <c r="G13" s="22">
        <f>0.05*G22</f>
        <v>1490.4333333333334</v>
      </c>
    </row>
    <row r="14" spans="1:7" ht="15.75" thickBot="1" x14ac:dyDescent="0.3">
      <c r="A14" s="23"/>
      <c r="F14" s="21" t="s">
        <v>45</v>
      </c>
      <c r="G14" s="22">
        <f>SUM(G12:G13)</f>
        <v>2640.4333333333334</v>
      </c>
    </row>
    <row r="15" spans="1:7" ht="15.75" thickBot="1" x14ac:dyDescent="0.3">
      <c r="A15" s="231" t="s">
        <v>46</v>
      </c>
      <c r="B15" s="232"/>
      <c r="C15" s="225"/>
      <c r="D15" s="225"/>
      <c r="E15" s="225"/>
      <c r="F15" s="225"/>
      <c r="G15" s="226"/>
    </row>
    <row r="16" spans="1:7" x14ac:dyDescent="0.25">
      <c r="A16" s="254" t="s">
        <v>37</v>
      </c>
      <c r="B16" s="255"/>
      <c r="C16" s="255"/>
      <c r="D16" s="44" t="s">
        <v>47</v>
      </c>
      <c r="E16" s="44" t="s">
        <v>3</v>
      </c>
      <c r="F16" s="44" t="s">
        <v>48</v>
      </c>
      <c r="G16" s="45" t="s">
        <v>44</v>
      </c>
    </row>
    <row r="17" spans="1:10" x14ac:dyDescent="0.25">
      <c r="A17" s="219" t="s">
        <v>221</v>
      </c>
      <c r="B17" s="220"/>
      <c r="C17" s="220"/>
      <c r="D17" s="21" t="s">
        <v>109</v>
      </c>
      <c r="E17" s="21">
        <v>0.03</v>
      </c>
      <c r="F17" s="20">
        <v>726796.66666666616</v>
      </c>
      <c r="G17" s="20">
        <f>+E17*F17</f>
        <v>21803.899999999983</v>
      </c>
    </row>
    <row r="18" spans="1:10" x14ac:dyDescent="0.25">
      <c r="A18" s="220"/>
      <c r="B18" s="220"/>
      <c r="C18" s="220"/>
      <c r="D18" s="21"/>
      <c r="E18" s="21"/>
      <c r="F18" s="21" t="s">
        <v>45</v>
      </c>
      <c r="G18" s="46">
        <f>SUM(G17:G17)</f>
        <v>21803.899999999983</v>
      </c>
    </row>
    <row r="19" spans="1:10" ht="12.75" customHeight="1" thickBot="1" x14ac:dyDescent="0.3">
      <c r="A19" s="252" t="s">
        <v>49</v>
      </c>
      <c r="B19" s="253"/>
      <c r="C19" s="233"/>
      <c r="D19" s="233"/>
      <c r="E19" s="233"/>
      <c r="F19" s="233"/>
      <c r="G19" s="234"/>
      <c r="J19" s="76"/>
    </row>
    <row r="20" spans="1:10" ht="15.75" thickBot="1" x14ac:dyDescent="0.3">
      <c r="A20" s="215" t="s">
        <v>50</v>
      </c>
      <c r="B20" s="216"/>
      <c r="C20" s="13" t="s">
        <v>51</v>
      </c>
      <c r="D20" s="13" t="s">
        <v>52</v>
      </c>
      <c r="E20" s="13" t="s">
        <v>53</v>
      </c>
      <c r="F20" s="13" t="s">
        <v>54</v>
      </c>
      <c r="G20" s="14" t="s">
        <v>44</v>
      </c>
    </row>
    <row r="21" spans="1:10" x14ac:dyDescent="0.25">
      <c r="A21" s="230" t="str">
        <f>+'insumos-MO'!B48</f>
        <v>Cuadrilla de construcción 2*1</v>
      </c>
      <c r="B21" s="218"/>
      <c r="C21" s="29">
        <f>+'insumos-MO'!E48</f>
        <v>357704</v>
      </c>
      <c r="D21" s="24"/>
      <c r="E21" s="29">
        <f>+C21</f>
        <v>357704</v>
      </c>
      <c r="F21" s="25">
        <v>12</v>
      </c>
      <c r="G21" s="27">
        <f>+E21/F21</f>
        <v>29808.666666666668</v>
      </c>
    </row>
    <row r="22" spans="1:10" ht="15.75" thickBot="1" x14ac:dyDescent="0.3">
      <c r="A22" s="23"/>
      <c r="F22" s="21" t="s">
        <v>45</v>
      </c>
      <c r="G22" s="28">
        <f>SUM(G21)</f>
        <v>29808.666666666668</v>
      </c>
    </row>
    <row r="23" spans="1:10" ht="15.75" thickBot="1" x14ac:dyDescent="0.3">
      <c r="A23" s="213" t="s">
        <v>55</v>
      </c>
      <c r="B23" s="214"/>
      <c r="G23" s="18"/>
    </row>
    <row r="24" spans="1:10" ht="15.75" thickBot="1" x14ac:dyDescent="0.3">
      <c r="A24" s="215" t="s">
        <v>56</v>
      </c>
      <c r="B24" s="216"/>
      <c r="C24" s="30" t="s">
        <v>38</v>
      </c>
      <c r="D24" s="13" t="s">
        <v>39</v>
      </c>
      <c r="E24" s="31"/>
      <c r="F24" s="13" t="s">
        <v>205</v>
      </c>
      <c r="G24" s="14" t="s">
        <v>44</v>
      </c>
    </row>
    <row r="25" spans="1:10" x14ac:dyDescent="0.25">
      <c r="A25" s="217" t="s">
        <v>57</v>
      </c>
      <c r="B25" s="218"/>
      <c r="C25" s="24"/>
      <c r="D25" s="24"/>
      <c r="E25" s="24"/>
      <c r="F25" s="24">
        <v>1</v>
      </c>
      <c r="G25" s="32">
        <v>1000</v>
      </c>
    </row>
    <row r="26" spans="1:10" x14ac:dyDescent="0.25">
      <c r="A26" s="219" t="s">
        <v>58</v>
      </c>
      <c r="B26" s="220"/>
      <c r="C26" s="21"/>
      <c r="D26" s="21"/>
      <c r="E26" s="21"/>
      <c r="F26" s="21"/>
      <c r="G26" s="33"/>
    </row>
    <row r="27" spans="1:10" ht="43.5" customHeight="1" x14ac:dyDescent="0.25">
      <c r="A27" s="221"/>
      <c r="B27" s="222"/>
      <c r="C27" s="222"/>
      <c r="D27" s="222"/>
      <c r="E27" s="223"/>
      <c r="F27" s="21" t="s">
        <v>45</v>
      </c>
      <c r="G27" s="33">
        <f>SUM(G25:G26)</f>
        <v>1000</v>
      </c>
    </row>
    <row r="28" spans="1:10" x14ac:dyDescent="0.25">
      <c r="A28" s="224"/>
      <c r="B28" s="225"/>
      <c r="C28" s="225"/>
      <c r="D28" s="225"/>
      <c r="E28" s="225"/>
      <c r="F28" s="225"/>
      <c r="G28" s="226"/>
    </row>
    <row r="29" spans="1:10" ht="15.75" thickBot="1" x14ac:dyDescent="0.3">
      <c r="A29" s="227"/>
      <c r="B29" s="228"/>
      <c r="C29" s="228"/>
      <c r="D29" s="228"/>
      <c r="E29" s="228"/>
      <c r="F29" s="228"/>
      <c r="G29" s="229"/>
    </row>
    <row r="30" spans="1:10" ht="15.75" thickBot="1" x14ac:dyDescent="0.3">
      <c r="A30" s="210" t="s">
        <v>59</v>
      </c>
      <c r="B30" s="211"/>
      <c r="C30" s="211"/>
      <c r="D30" s="211"/>
      <c r="E30" s="211"/>
      <c r="F30" s="212"/>
      <c r="G30" s="47">
        <f>+G27+G22+G18+G14</f>
        <v>55252.999999999985</v>
      </c>
      <c r="H30" s="11">
        <v>55253</v>
      </c>
    </row>
  </sheetData>
  <mergeCells count="22">
    <mergeCell ref="A17:C17"/>
    <mergeCell ref="B6:E6"/>
    <mergeCell ref="B7:E7"/>
    <mergeCell ref="A8:G8"/>
    <mergeCell ref="A11:D11"/>
    <mergeCell ref="A13:D13"/>
    <mergeCell ref="A27:E27"/>
    <mergeCell ref="A28:G29"/>
    <mergeCell ref="A30:F30"/>
    <mergeCell ref="A12:D12"/>
    <mergeCell ref="A18:C18"/>
    <mergeCell ref="A19:B19"/>
    <mergeCell ref="C19:G19"/>
    <mergeCell ref="A20:B20"/>
    <mergeCell ref="A24:B24"/>
    <mergeCell ref="A21:B21"/>
    <mergeCell ref="A23:B23"/>
    <mergeCell ref="A25:B25"/>
    <mergeCell ref="A26:B26"/>
    <mergeCell ref="A15:B15"/>
    <mergeCell ref="C15:G15"/>
    <mergeCell ref="A16:C16"/>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0"/>
  <sheetViews>
    <sheetView topLeftCell="A22" workbookViewId="0">
      <selection activeCell="C15" sqref="C15:G15"/>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8" width="12.5703125" bestFit="1" customWidth="1"/>
  </cols>
  <sheetData>
    <row r="5" spans="1:7" ht="15.75" thickBot="1" x14ac:dyDescent="0.3"/>
    <row r="6" spans="1:7" ht="15.75" thickBot="1" x14ac:dyDescent="0.3">
      <c r="A6" s="12" t="s">
        <v>36</v>
      </c>
      <c r="B6" s="216" t="s">
        <v>37</v>
      </c>
      <c r="C6" s="216"/>
      <c r="D6" s="216"/>
      <c r="E6" s="216"/>
      <c r="F6" s="13" t="s">
        <v>38</v>
      </c>
      <c r="G6" s="14" t="s">
        <v>39</v>
      </c>
    </row>
    <row r="7" spans="1:7" ht="72" customHeight="1" x14ac:dyDescent="0.25">
      <c r="A7" s="15" t="str">
        <f>+TABACAL!A19</f>
        <v>4.3</v>
      </c>
      <c r="B7" s="235" t="str">
        <f>+TABACAL!B19</f>
        <v>Colocación de ESTUCO ACRÍLICO PROFESIONAL, SOBRE SUPERFICIES REVOCADAS, 3 manos mínimo, o las que sean necesarias para obtener una superficie pareja y homogénea. Incluye suministro y transporte de los materiales, ranuras, filetes, dilataciones y todos los elementos necesarios para su correcta aplicación y funcionamiento</v>
      </c>
      <c r="C7" s="235"/>
      <c r="D7" s="235"/>
      <c r="E7" s="235"/>
      <c r="F7" s="16" t="str">
        <f>+TABACAL!C18</f>
        <v>m2</v>
      </c>
      <c r="G7" s="53">
        <f>+TABACAL!D19</f>
        <v>411.73</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111</v>
      </c>
      <c r="B12" s="220"/>
      <c r="C12" s="220"/>
      <c r="D12" s="220"/>
      <c r="E12" s="20">
        <v>11500</v>
      </c>
      <c r="F12" s="48">
        <f>1/10</f>
        <v>0.1</v>
      </c>
      <c r="G12" s="22">
        <f>+E12*F12</f>
        <v>1150</v>
      </c>
    </row>
    <row r="13" spans="1:7" x14ac:dyDescent="0.25">
      <c r="A13" s="219" t="s">
        <v>60</v>
      </c>
      <c r="B13" s="220"/>
      <c r="C13" s="220"/>
      <c r="D13" s="220"/>
      <c r="E13" s="20"/>
      <c r="F13" s="21"/>
      <c r="G13" s="22">
        <f>0.05*G22</f>
        <v>447.13000000000005</v>
      </c>
    </row>
    <row r="14" spans="1:7" ht="15.75" thickBot="1" x14ac:dyDescent="0.3">
      <c r="A14" s="23"/>
      <c r="F14" s="21" t="s">
        <v>45</v>
      </c>
      <c r="G14" s="22">
        <f>SUM(G12:G13)</f>
        <v>1597.13</v>
      </c>
    </row>
    <row r="15" spans="1:7" ht="15.75" thickBot="1" x14ac:dyDescent="0.3">
      <c r="A15" s="231" t="s">
        <v>46</v>
      </c>
      <c r="B15" s="232"/>
      <c r="C15" s="225"/>
      <c r="D15" s="225"/>
      <c r="E15" s="225"/>
      <c r="F15" s="225"/>
      <c r="G15" s="226"/>
    </row>
    <row r="16" spans="1:7" x14ac:dyDescent="0.25">
      <c r="A16" s="254" t="s">
        <v>37</v>
      </c>
      <c r="B16" s="255"/>
      <c r="C16" s="255"/>
      <c r="D16" s="44" t="s">
        <v>47</v>
      </c>
      <c r="E16" s="44" t="s">
        <v>3</v>
      </c>
      <c r="F16" s="44" t="s">
        <v>48</v>
      </c>
      <c r="G16" s="45" t="s">
        <v>44</v>
      </c>
    </row>
    <row r="17" spans="1:10" x14ac:dyDescent="0.25">
      <c r="A17" s="219" t="s">
        <v>222</v>
      </c>
      <c r="B17" s="220"/>
      <c r="C17" s="220"/>
      <c r="D17" s="21" t="s">
        <v>223</v>
      </c>
      <c r="E17" s="70">
        <f>2.5/30</f>
        <v>8.3333333333333329E-2</v>
      </c>
      <c r="F17" s="20">
        <v>132159.24</v>
      </c>
      <c r="G17" s="20">
        <f>+E17*F17</f>
        <v>11013.269999999999</v>
      </c>
    </row>
    <row r="18" spans="1:10" x14ac:dyDescent="0.25">
      <c r="A18" s="220"/>
      <c r="B18" s="220"/>
      <c r="C18" s="220"/>
      <c r="D18" s="21"/>
      <c r="E18" s="21"/>
      <c r="F18" s="21" t="s">
        <v>45</v>
      </c>
      <c r="G18" s="46">
        <f>SUM(G17:G17)</f>
        <v>11013.269999999999</v>
      </c>
    </row>
    <row r="19" spans="1:10" ht="12.75" customHeight="1" thickBot="1" x14ac:dyDescent="0.3">
      <c r="A19" s="252" t="s">
        <v>49</v>
      </c>
      <c r="B19" s="253"/>
      <c r="C19" s="233"/>
      <c r="D19" s="233"/>
      <c r="E19" s="233"/>
      <c r="F19" s="233"/>
      <c r="G19" s="234"/>
      <c r="J19" s="76"/>
    </row>
    <row r="20" spans="1:10" ht="15.75" thickBot="1" x14ac:dyDescent="0.3">
      <c r="A20" s="215" t="s">
        <v>50</v>
      </c>
      <c r="B20" s="216"/>
      <c r="C20" s="13" t="s">
        <v>51</v>
      </c>
      <c r="D20" s="13" t="s">
        <v>52</v>
      </c>
      <c r="E20" s="13" t="s">
        <v>53</v>
      </c>
      <c r="F20" s="13" t="s">
        <v>54</v>
      </c>
      <c r="G20" s="14" t="s">
        <v>44</v>
      </c>
    </row>
    <row r="21" spans="1:10" x14ac:dyDescent="0.25">
      <c r="A21" s="230" t="str">
        <f>+'insumos-MO'!B43</f>
        <v>Cuadrilla de construcción 1*1</v>
      </c>
      <c r="B21" s="218"/>
      <c r="C21" s="29">
        <f>+'insumos-MO'!E43</f>
        <v>223565</v>
      </c>
      <c r="D21" s="24"/>
      <c r="E21" s="29">
        <f>+C21</f>
        <v>223565</v>
      </c>
      <c r="F21" s="25">
        <v>25</v>
      </c>
      <c r="G21" s="27">
        <f>+E21/F21</f>
        <v>8942.6</v>
      </c>
    </row>
    <row r="22" spans="1:10" ht="15.75" thickBot="1" x14ac:dyDescent="0.3">
      <c r="A22" s="23"/>
      <c r="F22" s="21" t="s">
        <v>45</v>
      </c>
      <c r="G22" s="28">
        <f>SUM(G21)</f>
        <v>8942.6</v>
      </c>
    </row>
    <row r="23" spans="1:10" ht="15.75" thickBot="1" x14ac:dyDescent="0.3">
      <c r="A23" s="213" t="s">
        <v>55</v>
      </c>
      <c r="B23" s="214"/>
      <c r="G23" s="18"/>
    </row>
    <row r="24" spans="1:10" ht="15.75" thickBot="1" x14ac:dyDescent="0.3">
      <c r="A24" s="215" t="s">
        <v>56</v>
      </c>
      <c r="B24" s="216"/>
      <c r="C24" s="30" t="s">
        <v>38</v>
      </c>
      <c r="D24" s="13" t="s">
        <v>39</v>
      </c>
      <c r="E24" s="31"/>
      <c r="F24" s="13" t="s">
        <v>205</v>
      </c>
      <c r="G24" s="14" t="s">
        <v>44</v>
      </c>
    </row>
    <row r="25" spans="1:10" x14ac:dyDescent="0.25">
      <c r="A25" s="217" t="s">
        <v>57</v>
      </c>
      <c r="B25" s="218"/>
      <c r="C25" s="24"/>
      <c r="D25" s="24"/>
      <c r="E25" s="24"/>
      <c r="F25" s="24">
        <v>1</v>
      </c>
      <c r="G25" s="32">
        <v>1000</v>
      </c>
    </row>
    <row r="26" spans="1:10" x14ac:dyDescent="0.25">
      <c r="A26" s="219" t="s">
        <v>58</v>
      </c>
      <c r="B26" s="220"/>
      <c r="C26" s="21"/>
      <c r="D26" s="21"/>
      <c r="E26" s="21"/>
      <c r="F26" s="21"/>
      <c r="G26" s="33"/>
    </row>
    <row r="27" spans="1:10" ht="43.5" customHeight="1" x14ac:dyDescent="0.25">
      <c r="A27" s="221"/>
      <c r="B27" s="222"/>
      <c r="C27" s="222"/>
      <c r="D27" s="222"/>
      <c r="E27" s="223"/>
      <c r="F27" s="21" t="s">
        <v>45</v>
      </c>
      <c r="G27" s="33">
        <f>SUM(G25:G26)</f>
        <v>1000</v>
      </c>
    </row>
    <row r="28" spans="1:10" x14ac:dyDescent="0.25">
      <c r="A28" s="224"/>
      <c r="B28" s="225"/>
      <c r="C28" s="225"/>
      <c r="D28" s="225"/>
      <c r="E28" s="225"/>
      <c r="F28" s="225"/>
      <c r="G28" s="226"/>
    </row>
    <row r="29" spans="1:10" ht="15.75" thickBot="1" x14ac:dyDescent="0.3">
      <c r="A29" s="227"/>
      <c r="B29" s="228"/>
      <c r="C29" s="228"/>
      <c r="D29" s="228"/>
      <c r="E29" s="228"/>
      <c r="F29" s="228"/>
      <c r="G29" s="229"/>
    </row>
    <row r="30" spans="1:10" ht="15.75" thickBot="1" x14ac:dyDescent="0.3">
      <c r="A30" s="210" t="s">
        <v>59</v>
      </c>
      <c r="B30" s="211"/>
      <c r="C30" s="211"/>
      <c r="D30" s="211"/>
      <c r="E30" s="211"/>
      <c r="F30" s="212"/>
      <c r="G30" s="47">
        <f>+G27+G22+G18+G14</f>
        <v>22553</v>
      </c>
      <c r="H30" s="11">
        <f>+TABACAL!E19</f>
        <v>22553</v>
      </c>
    </row>
  </sheetData>
  <mergeCells count="22">
    <mergeCell ref="A19:B19"/>
    <mergeCell ref="C19:G19"/>
    <mergeCell ref="B6:E6"/>
    <mergeCell ref="B7:E7"/>
    <mergeCell ref="A8:G8"/>
    <mergeCell ref="A11:D11"/>
    <mergeCell ref="A12:D12"/>
    <mergeCell ref="A13:D13"/>
    <mergeCell ref="A15:B15"/>
    <mergeCell ref="C15:G15"/>
    <mergeCell ref="A16:C16"/>
    <mergeCell ref="A17:C17"/>
    <mergeCell ref="A18:C18"/>
    <mergeCell ref="A27:E27"/>
    <mergeCell ref="A28:G29"/>
    <mergeCell ref="A30:F30"/>
    <mergeCell ref="A20:B20"/>
    <mergeCell ref="A21:B21"/>
    <mergeCell ref="A23:B23"/>
    <mergeCell ref="A24:B24"/>
    <mergeCell ref="A25:B25"/>
    <mergeCell ref="A26:B2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9"/>
  <sheetViews>
    <sheetView topLeftCell="A10" workbookViewId="0">
      <selection activeCell="B36" sqref="B36"/>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72" customHeight="1" x14ac:dyDescent="0.25">
      <c r="A7" s="15" t="str">
        <f>+TABACAL!A21</f>
        <v>5.1</v>
      </c>
      <c r="B7" s="235" t="str">
        <f>+TABACAL!B21</f>
        <v>SUMINISTRO E INSTALACION DE PUERTAS EN VIDRIO 6mm con marcos en aluminio cuerpos aluminio natural mate, vidrio 3+3 mm batiente sin reja según diseño, incluyen todos los elementos necesarios para su correcta instalación y funcionamiento</v>
      </c>
      <c r="C7" s="235"/>
      <c r="D7" s="235"/>
      <c r="E7" s="235"/>
      <c r="F7" s="16" t="str">
        <f>+TABACAL!C21</f>
        <v>m2</v>
      </c>
      <c r="G7" s="53">
        <f>+TABACAL!D21</f>
        <v>5.76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0.05*G21</f>
        <v>5589.125</v>
      </c>
    </row>
    <row r="13" spans="1:7" ht="15.75" thickBot="1" x14ac:dyDescent="0.3">
      <c r="A13" s="23"/>
      <c r="F13" s="21" t="s">
        <v>45</v>
      </c>
      <c r="G13" s="22">
        <f>SUM(G12:G12)</f>
        <v>5589.125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65.25" customHeight="1" x14ac:dyDescent="0.25">
      <c r="A16" s="256" t="s">
        <v>224</v>
      </c>
      <c r="B16" s="257"/>
      <c r="C16" s="258"/>
      <c r="D16" s="52" t="s">
        <v>11</v>
      </c>
      <c r="E16" s="77">
        <v>1</v>
      </c>
      <c r="F16" s="51">
        <v>1130320.375</v>
      </c>
      <c r="G16" s="51">
        <f>+E16*F16</f>
        <v>1130320.375</v>
      </c>
    </row>
    <row r="17" spans="1:10" x14ac:dyDescent="0.25">
      <c r="A17" s="220"/>
      <c r="B17" s="220"/>
      <c r="C17" s="220"/>
      <c r="D17" s="21"/>
      <c r="E17" s="21"/>
      <c r="F17" s="21" t="s">
        <v>45</v>
      </c>
      <c r="G17" s="46">
        <f>SUM(G16:G16)</f>
        <v>1130320.375</v>
      </c>
    </row>
    <row r="18" spans="1:10" ht="12.75" customHeight="1" thickBot="1" x14ac:dyDescent="0.3">
      <c r="A18" s="252" t="s">
        <v>49</v>
      </c>
      <c r="B18" s="253"/>
      <c r="C18" s="233"/>
      <c r="D18" s="233"/>
      <c r="E18" s="233"/>
      <c r="F18" s="233"/>
      <c r="G18" s="234"/>
      <c r="J18" s="76"/>
    </row>
    <row r="19" spans="1:10" ht="15.75" thickBot="1" x14ac:dyDescent="0.3">
      <c r="A19" s="215" t="s">
        <v>50</v>
      </c>
      <c r="B19" s="216"/>
      <c r="C19" s="13" t="s">
        <v>51</v>
      </c>
      <c r="D19" s="13" t="s">
        <v>52</v>
      </c>
      <c r="E19" s="13" t="s">
        <v>53</v>
      </c>
      <c r="F19" s="13" t="s">
        <v>54</v>
      </c>
      <c r="G19" s="14" t="s">
        <v>44</v>
      </c>
    </row>
    <row r="20" spans="1:10" x14ac:dyDescent="0.25">
      <c r="A20" s="230" t="str">
        <f>+'insumos-MO'!B43</f>
        <v>Cuadrilla de construcción 1*1</v>
      </c>
      <c r="B20" s="218"/>
      <c r="C20" s="29">
        <f>+'insumos-MO'!E43</f>
        <v>223565</v>
      </c>
      <c r="D20" s="24"/>
      <c r="E20" s="29">
        <f>+C20</f>
        <v>223565</v>
      </c>
      <c r="F20" s="25">
        <v>2</v>
      </c>
      <c r="G20" s="27">
        <f>+E20/F20</f>
        <v>111782.5</v>
      </c>
    </row>
    <row r="21" spans="1:10" ht="15.75" thickBot="1" x14ac:dyDescent="0.3">
      <c r="A21" s="23"/>
      <c r="F21" s="21" t="s">
        <v>45</v>
      </c>
      <c r="G21" s="28">
        <f>SUM(G20)</f>
        <v>111782.5</v>
      </c>
    </row>
    <row r="22" spans="1:10" ht="15.75" thickBot="1" x14ac:dyDescent="0.3">
      <c r="A22" s="213" t="s">
        <v>55</v>
      </c>
      <c r="B22" s="214"/>
      <c r="G22" s="18"/>
    </row>
    <row r="23" spans="1:10" ht="15.75" thickBot="1" x14ac:dyDescent="0.3">
      <c r="A23" s="215" t="s">
        <v>56</v>
      </c>
      <c r="B23" s="216"/>
      <c r="C23" s="30" t="s">
        <v>38</v>
      </c>
      <c r="D23" s="13" t="s">
        <v>39</v>
      </c>
      <c r="E23" s="31"/>
      <c r="F23" s="13" t="s">
        <v>205</v>
      </c>
      <c r="G23" s="14" t="s">
        <v>44</v>
      </c>
    </row>
    <row r="24" spans="1:10" x14ac:dyDescent="0.25">
      <c r="A24" s="217" t="s">
        <v>225</v>
      </c>
      <c r="B24" s="218"/>
      <c r="C24" s="24" t="s">
        <v>38</v>
      </c>
      <c r="D24" s="24">
        <v>1</v>
      </c>
      <c r="E24" s="24"/>
      <c r="F24" s="24">
        <v>70000</v>
      </c>
      <c r="G24" s="32">
        <f>+F24*D24</f>
        <v>70000</v>
      </c>
    </row>
    <row r="25" spans="1:10" x14ac:dyDescent="0.25">
      <c r="A25" s="219" t="s">
        <v>58</v>
      </c>
      <c r="B25" s="220"/>
      <c r="C25" s="21"/>
      <c r="D25" s="21"/>
      <c r="E25" s="21"/>
      <c r="F25" s="21"/>
      <c r="G25" s="33"/>
      <c r="J25" t="s">
        <v>150</v>
      </c>
    </row>
    <row r="26" spans="1:10" ht="43.5" customHeight="1" x14ac:dyDescent="0.25">
      <c r="A26" s="221"/>
      <c r="B26" s="222"/>
      <c r="C26" s="222"/>
      <c r="D26" s="222"/>
      <c r="E26" s="223"/>
      <c r="F26" s="21" t="s">
        <v>45</v>
      </c>
      <c r="G26" s="33">
        <f>SUM(G24:G25)</f>
        <v>70000</v>
      </c>
    </row>
    <row r="27" spans="1:10" x14ac:dyDescent="0.25">
      <c r="A27" s="224"/>
      <c r="B27" s="225"/>
      <c r="C27" s="225"/>
      <c r="D27" s="225"/>
      <c r="E27" s="225"/>
      <c r="F27" s="225"/>
      <c r="G27" s="226"/>
    </row>
    <row r="28" spans="1:10" ht="15.75" thickBot="1" x14ac:dyDescent="0.3">
      <c r="A28" s="227"/>
      <c r="B28" s="228"/>
      <c r="C28" s="228"/>
      <c r="D28" s="228"/>
      <c r="E28" s="228"/>
      <c r="F28" s="228"/>
      <c r="G28" s="229"/>
    </row>
    <row r="29" spans="1:10" ht="15.75" thickBot="1" x14ac:dyDescent="0.3">
      <c r="A29" s="210" t="s">
        <v>59</v>
      </c>
      <c r="B29" s="211"/>
      <c r="C29" s="211"/>
      <c r="D29" s="211"/>
      <c r="E29" s="211"/>
      <c r="F29" s="212"/>
      <c r="G29" s="47">
        <f>+G26+G21+G17+G13</f>
        <v>1317692</v>
      </c>
      <c r="H29" s="11">
        <f>+TABACAL!E21</f>
        <v>1317692</v>
      </c>
    </row>
  </sheetData>
  <mergeCells count="21">
    <mergeCell ref="A18:B18"/>
    <mergeCell ref="C18:G18"/>
    <mergeCell ref="B6:E6"/>
    <mergeCell ref="B7:E7"/>
    <mergeCell ref="A8:G8"/>
    <mergeCell ref="A11:D11"/>
    <mergeCell ref="A12:D12"/>
    <mergeCell ref="A14:B14"/>
    <mergeCell ref="C14:G14"/>
    <mergeCell ref="A15:C15"/>
    <mergeCell ref="A16:C16"/>
    <mergeCell ref="A17:C17"/>
    <mergeCell ref="A26:E26"/>
    <mergeCell ref="A27:G28"/>
    <mergeCell ref="A29:F29"/>
    <mergeCell ref="A19:B19"/>
    <mergeCell ref="A20:B20"/>
    <mergeCell ref="A22:B22"/>
    <mergeCell ref="A23:B23"/>
    <mergeCell ref="A24:B24"/>
    <mergeCell ref="A25:B25"/>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9"/>
  <sheetViews>
    <sheetView topLeftCell="A10" workbookViewId="0">
      <selection activeCell="C18" sqref="C18:G18"/>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66.75" customHeight="1" x14ac:dyDescent="0.25">
      <c r="A7" s="15" t="str">
        <f>+TABACAL!A22</f>
        <v>5.2</v>
      </c>
      <c r="B7" s="235" t="str">
        <f>+TABACAL!B22</f>
        <v>Suministro transporte e instalación de Puerta para interior de 0,8mt x 2,2mt en madera de cedro, entamborada en triple con chapa de bola en acero inoxidable con sus respectivas llaves según diseño acordado con interventoría</v>
      </c>
      <c r="C7" s="235"/>
      <c r="D7" s="235"/>
      <c r="E7" s="235"/>
      <c r="F7" s="16" t="str">
        <f>+TABACAL!C22</f>
        <v>Unidad</v>
      </c>
      <c r="G7" s="53">
        <f>+TABACAL!D22</f>
        <v>12</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0.05*G21</f>
        <v>5589.125</v>
      </c>
    </row>
    <row r="13" spans="1:7" ht="15.75" thickBot="1" x14ac:dyDescent="0.3">
      <c r="A13" s="23"/>
      <c r="F13" s="21" t="s">
        <v>45</v>
      </c>
      <c r="G13" s="22">
        <f>SUM(G12:G12)</f>
        <v>5589.125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51" customHeight="1" x14ac:dyDescent="0.25">
      <c r="A16" s="256" t="s">
        <v>226</v>
      </c>
      <c r="B16" s="257"/>
      <c r="C16" s="258"/>
      <c r="D16" s="52" t="s">
        <v>47</v>
      </c>
      <c r="E16" s="77">
        <v>1</v>
      </c>
      <c r="F16" s="51">
        <v>663992.375</v>
      </c>
      <c r="G16" s="51">
        <f>+E16*F16</f>
        <v>663992.375</v>
      </c>
    </row>
    <row r="17" spans="1:10" x14ac:dyDescent="0.25">
      <c r="A17" s="220"/>
      <c r="B17" s="220"/>
      <c r="C17" s="220"/>
      <c r="D17" s="21"/>
      <c r="E17" s="21"/>
      <c r="F17" s="21" t="s">
        <v>45</v>
      </c>
      <c r="G17" s="46">
        <f>SUM(G16:G16)</f>
        <v>663992.375</v>
      </c>
    </row>
    <row r="18" spans="1:10" ht="12.75" customHeight="1" thickBot="1" x14ac:dyDescent="0.3">
      <c r="A18" s="252" t="s">
        <v>49</v>
      </c>
      <c r="B18" s="253"/>
      <c r="C18" s="233"/>
      <c r="D18" s="233"/>
      <c r="E18" s="233"/>
      <c r="F18" s="233"/>
      <c r="G18" s="234"/>
      <c r="J18" s="76"/>
    </row>
    <row r="19" spans="1:10" ht="15.75" thickBot="1" x14ac:dyDescent="0.3">
      <c r="A19" s="215" t="s">
        <v>50</v>
      </c>
      <c r="B19" s="216"/>
      <c r="C19" s="13" t="s">
        <v>51</v>
      </c>
      <c r="D19" s="13" t="s">
        <v>52</v>
      </c>
      <c r="E19" s="13" t="s">
        <v>53</v>
      </c>
      <c r="F19" s="13" t="s">
        <v>54</v>
      </c>
      <c r="G19" s="14" t="s">
        <v>44</v>
      </c>
    </row>
    <row r="20" spans="1:10" x14ac:dyDescent="0.25">
      <c r="A20" s="230" t="str">
        <f>+'insumos-MO'!B43</f>
        <v>Cuadrilla de construcción 1*1</v>
      </c>
      <c r="B20" s="218"/>
      <c r="C20" s="29">
        <f>+'insumos-MO'!E43</f>
        <v>223565</v>
      </c>
      <c r="D20" s="24"/>
      <c r="E20" s="29">
        <f>+C20</f>
        <v>223565</v>
      </c>
      <c r="F20" s="25">
        <v>2</v>
      </c>
      <c r="G20" s="27">
        <f>+E20/F20</f>
        <v>111782.5</v>
      </c>
    </row>
    <row r="21" spans="1:10" ht="15.75" thickBot="1" x14ac:dyDescent="0.3">
      <c r="A21" s="23"/>
      <c r="F21" s="21" t="s">
        <v>45</v>
      </c>
      <c r="G21" s="28">
        <f>SUM(G20)</f>
        <v>111782.5</v>
      </c>
    </row>
    <row r="22" spans="1:10" ht="15.75" thickBot="1" x14ac:dyDescent="0.3">
      <c r="A22" s="213" t="s">
        <v>55</v>
      </c>
      <c r="B22" s="214"/>
      <c r="G22" s="18"/>
    </row>
    <row r="23" spans="1:10" ht="15.75" thickBot="1" x14ac:dyDescent="0.3">
      <c r="A23" s="215" t="s">
        <v>56</v>
      </c>
      <c r="B23" s="216"/>
      <c r="C23" s="30" t="s">
        <v>38</v>
      </c>
      <c r="D23" s="13" t="s">
        <v>39</v>
      </c>
      <c r="E23" s="31"/>
      <c r="F23" s="13" t="s">
        <v>205</v>
      </c>
      <c r="G23" s="14" t="s">
        <v>44</v>
      </c>
    </row>
    <row r="24" spans="1:10" x14ac:dyDescent="0.25">
      <c r="A24" s="217" t="s">
        <v>225</v>
      </c>
      <c r="B24" s="218"/>
      <c r="C24" s="24" t="s">
        <v>38</v>
      </c>
      <c r="D24" s="24">
        <v>1</v>
      </c>
      <c r="E24" s="24"/>
      <c r="F24" s="24">
        <v>70000</v>
      </c>
      <c r="G24" s="32">
        <f>+F24*D24</f>
        <v>70000</v>
      </c>
    </row>
    <row r="25" spans="1:10" x14ac:dyDescent="0.25">
      <c r="A25" s="219" t="s">
        <v>58</v>
      </c>
      <c r="B25" s="220"/>
      <c r="C25" s="21"/>
      <c r="D25" s="21"/>
      <c r="E25" s="21"/>
      <c r="F25" s="21"/>
      <c r="G25" s="33"/>
    </row>
    <row r="26" spans="1:10" ht="43.5" customHeight="1" x14ac:dyDescent="0.25">
      <c r="A26" s="221"/>
      <c r="B26" s="222"/>
      <c r="C26" s="222"/>
      <c r="D26" s="222"/>
      <c r="E26" s="223"/>
      <c r="F26" s="21" t="s">
        <v>45</v>
      </c>
      <c r="G26" s="33">
        <f>SUM(G24:G25)</f>
        <v>70000</v>
      </c>
    </row>
    <row r="27" spans="1:10" x14ac:dyDescent="0.25">
      <c r="A27" s="224"/>
      <c r="B27" s="225"/>
      <c r="C27" s="225"/>
      <c r="D27" s="225"/>
      <c r="E27" s="225"/>
      <c r="F27" s="225"/>
      <c r="G27" s="226"/>
    </row>
    <row r="28" spans="1:10" ht="15.75" thickBot="1" x14ac:dyDescent="0.3">
      <c r="A28" s="227"/>
      <c r="B28" s="228"/>
      <c r="C28" s="228"/>
      <c r="D28" s="228"/>
      <c r="E28" s="228"/>
      <c r="F28" s="228"/>
      <c r="G28" s="229"/>
    </row>
    <row r="29" spans="1:10" ht="15.75" thickBot="1" x14ac:dyDescent="0.3">
      <c r="A29" s="210" t="s">
        <v>59</v>
      </c>
      <c r="B29" s="211"/>
      <c r="C29" s="211"/>
      <c r="D29" s="211"/>
      <c r="E29" s="211"/>
      <c r="F29" s="212"/>
      <c r="G29" s="47">
        <f>+G26+G21+G17+G13</f>
        <v>851364</v>
      </c>
      <c r="H29" s="11">
        <f>+TABACAL!E22</f>
        <v>851364</v>
      </c>
    </row>
  </sheetData>
  <mergeCells count="21">
    <mergeCell ref="A19:B19"/>
    <mergeCell ref="B6:E6"/>
    <mergeCell ref="B7:E7"/>
    <mergeCell ref="A8:G8"/>
    <mergeCell ref="A11:D11"/>
    <mergeCell ref="A12:D12"/>
    <mergeCell ref="A14:B14"/>
    <mergeCell ref="C14:G14"/>
    <mergeCell ref="A15:C15"/>
    <mergeCell ref="A16:C16"/>
    <mergeCell ref="A17:C17"/>
    <mergeCell ref="A18:B18"/>
    <mergeCell ref="C18:G18"/>
    <mergeCell ref="A27:G28"/>
    <mergeCell ref="A29:F29"/>
    <mergeCell ref="A20:B20"/>
    <mergeCell ref="A22:B22"/>
    <mergeCell ref="A23:B23"/>
    <mergeCell ref="A24:B24"/>
    <mergeCell ref="A25:B25"/>
    <mergeCell ref="A26:E26"/>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9"/>
  <sheetViews>
    <sheetView topLeftCell="A22" workbookViewId="0">
      <selection activeCell="I18" sqref="I18"/>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66.75" customHeight="1" x14ac:dyDescent="0.25">
      <c r="A7" s="15" t="str">
        <f>+TABACAL!A23</f>
        <v>5.3</v>
      </c>
      <c r="B7" s="235" t="str">
        <f>+TABACAL!B23</f>
        <v>SUMINISTRO E INSTALACION DE VENTANA EN ALUMINIO cuerpos aluminio natural mate, vidrio 5 mm con una fija y otra corrediza, incluyen todos los elementos necesarios para su correcta instalación y funcionamiento</v>
      </c>
      <c r="C7" s="235"/>
      <c r="D7" s="235"/>
      <c r="E7" s="235"/>
      <c r="F7" s="16" t="str">
        <f>+TABACAL!C23</f>
        <v>m2</v>
      </c>
      <c r="G7" s="53">
        <f>+TABACAL!D23</f>
        <v>8.65</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13" t="s">
        <v>42</v>
      </c>
      <c r="F11" s="13" t="s">
        <v>43</v>
      </c>
      <c r="G11" s="14" t="s">
        <v>44</v>
      </c>
    </row>
    <row r="12" spans="1:7" x14ac:dyDescent="0.25">
      <c r="A12" s="219" t="s">
        <v>60</v>
      </c>
      <c r="B12" s="220"/>
      <c r="C12" s="220"/>
      <c r="D12" s="220"/>
      <c r="E12" s="20"/>
      <c r="F12" s="21"/>
      <c r="G12" s="22">
        <f>0.05*G21</f>
        <v>3726.0833333333339</v>
      </c>
    </row>
    <row r="13" spans="1:7" ht="15.75" thickBot="1" x14ac:dyDescent="0.3">
      <c r="A13" s="23"/>
      <c r="F13" s="21" t="s">
        <v>45</v>
      </c>
      <c r="G13" s="22">
        <f>SUM(G12:G12)</f>
        <v>3726.0833333333339</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51" customHeight="1" x14ac:dyDescent="0.25">
      <c r="A16" s="256" t="s">
        <v>227</v>
      </c>
      <c r="B16" s="257"/>
      <c r="C16" s="258"/>
      <c r="D16" s="52" t="s">
        <v>11</v>
      </c>
      <c r="E16" s="77">
        <v>1</v>
      </c>
      <c r="F16" s="51">
        <v>759444.25</v>
      </c>
      <c r="G16" s="51">
        <f>+E16*F16</f>
        <v>759444.25</v>
      </c>
    </row>
    <row r="17" spans="1:10" x14ac:dyDescent="0.25">
      <c r="A17" s="220"/>
      <c r="B17" s="220"/>
      <c r="C17" s="220"/>
      <c r="D17" s="21"/>
      <c r="E17" s="21"/>
      <c r="F17" s="21" t="s">
        <v>45</v>
      </c>
      <c r="G17" s="46">
        <f>SUM(G16:G16)</f>
        <v>759444.25</v>
      </c>
    </row>
    <row r="18" spans="1:10" ht="12.75" customHeight="1" thickBot="1" x14ac:dyDescent="0.3">
      <c r="A18" s="252" t="s">
        <v>49</v>
      </c>
      <c r="B18" s="253"/>
      <c r="C18" s="233"/>
      <c r="D18" s="233"/>
      <c r="E18" s="233"/>
      <c r="F18" s="233"/>
      <c r="G18" s="234"/>
      <c r="J18" s="76"/>
    </row>
    <row r="19" spans="1:10" ht="15.75" thickBot="1" x14ac:dyDescent="0.3">
      <c r="A19" s="215" t="s">
        <v>50</v>
      </c>
      <c r="B19" s="216"/>
      <c r="C19" s="13" t="s">
        <v>51</v>
      </c>
      <c r="D19" s="13" t="s">
        <v>52</v>
      </c>
      <c r="E19" s="13" t="s">
        <v>53</v>
      </c>
      <c r="F19" s="13" t="s">
        <v>54</v>
      </c>
      <c r="G19" s="14" t="s">
        <v>44</v>
      </c>
    </row>
    <row r="20" spans="1:10" x14ac:dyDescent="0.25">
      <c r="A20" s="230" t="str">
        <f>+'insumos-MO'!B43</f>
        <v>Cuadrilla de construcción 1*1</v>
      </c>
      <c r="B20" s="218"/>
      <c r="C20" s="29">
        <f>+'insumos-MO'!E43</f>
        <v>223565</v>
      </c>
      <c r="D20" s="24"/>
      <c r="E20" s="29">
        <f>+C20</f>
        <v>223565</v>
      </c>
      <c r="F20" s="25">
        <v>3</v>
      </c>
      <c r="G20" s="27">
        <f>+E20/F20</f>
        <v>74521.666666666672</v>
      </c>
    </row>
    <row r="21" spans="1:10" ht="15.75" thickBot="1" x14ac:dyDescent="0.3">
      <c r="A21" s="23"/>
      <c r="F21" s="21" t="s">
        <v>45</v>
      </c>
      <c r="G21" s="28">
        <f>SUM(G20)</f>
        <v>74521.666666666672</v>
      </c>
    </row>
    <row r="22" spans="1:10" ht="15.75" thickBot="1" x14ac:dyDescent="0.3">
      <c r="A22" s="213" t="s">
        <v>55</v>
      </c>
      <c r="B22" s="214"/>
      <c r="G22" s="18"/>
    </row>
    <row r="23" spans="1:10" ht="15.75" thickBot="1" x14ac:dyDescent="0.3">
      <c r="A23" s="215" t="s">
        <v>56</v>
      </c>
      <c r="B23" s="216"/>
      <c r="C23" s="30" t="s">
        <v>38</v>
      </c>
      <c r="D23" s="13" t="s">
        <v>39</v>
      </c>
      <c r="E23" s="31"/>
      <c r="F23" s="13" t="s">
        <v>205</v>
      </c>
      <c r="G23" s="14" t="s">
        <v>44</v>
      </c>
    </row>
    <row r="24" spans="1:10" x14ac:dyDescent="0.25">
      <c r="A24" s="217" t="s">
        <v>228</v>
      </c>
      <c r="B24" s="218"/>
      <c r="C24" s="24" t="s">
        <v>38</v>
      </c>
      <c r="D24" s="24">
        <v>1</v>
      </c>
      <c r="E24" s="24"/>
      <c r="F24" s="29">
        <v>70000</v>
      </c>
      <c r="G24" s="179">
        <f>+F24*D24</f>
        <v>70000</v>
      </c>
    </row>
    <row r="25" spans="1:10" x14ac:dyDescent="0.25">
      <c r="A25" s="219" t="s">
        <v>58</v>
      </c>
      <c r="B25" s="220"/>
      <c r="C25" s="21"/>
      <c r="D25" s="21"/>
      <c r="E25" s="21"/>
      <c r="F25" s="21"/>
      <c r="G25" s="33"/>
    </row>
    <row r="26" spans="1:10" ht="43.5" customHeight="1" x14ac:dyDescent="0.25">
      <c r="A26" s="221"/>
      <c r="B26" s="222"/>
      <c r="C26" s="222"/>
      <c r="D26" s="222"/>
      <c r="E26" s="223"/>
      <c r="F26" s="21" t="s">
        <v>45</v>
      </c>
      <c r="G26" s="90">
        <f>SUM(G24:G25)</f>
        <v>70000</v>
      </c>
    </row>
    <row r="27" spans="1:10" x14ac:dyDescent="0.25">
      <c r="A27" s="224"/>
      <c r="B27" s="225"/>
      <c r="C27" s="225"/>
      <c r="D27" s="225"/>
      <c r="E27" s="225"/>
      <c r="F27" s="225"/>
      <c r="G27" s="226"/>
    </row>
    <row r="28" spans="1:10" ht="15.75" thickBot="1" x14ac:dyDescent="0.3">
      <c r="A28" s="227"/>
      <c r="B28" s="228"/>
      <c r="C28" s="228"/>
      <c r="D28" s="228"/>
      <c r="E28" s="228"/>
      <c r="F28" s="228"/>
      <c r="G28" s="229"/>
    </row>
    <row r="29" spans="1:10" ht="15.75" thickBot="1" x14ac:dyDescent="0.3">
      <c r="A29" s="210" t="s">
        <v>59</v>
      </c>
      <c r="B29" s="211"/>
      <c r="C29" s="211"/>
      <c r="D29" s="211"/>
      <c r="E29" s="211"/>
      <c r="F29" s="212"/>
      <c r="G29" s="47">
        <f>+G26+G21+G17+G13</f>
        <v>907692.00000000012</v>
      </c>
      <c r="H29" s="11">
        <f>+TABACAL!E23</f>
        <v>907692</v>
      </c>
    </row>
  </sheetData>
  <mergeCells count="21">
    <mergeCell ref="A19:B19"/>
    <mergeCell ref="B6:E6"/>
    <mergeCell ref="B7:E7"/>
    <mergeCell ref="A8:G8"/>
    <mergeCell ref="A11:D11"/>
    <mergeCell ref="A12:D12"/>
    <mergeCell ref="A14:B14"/>
    <mergeCell ref="C14:G14"/>
    <mergeCell ref="A15:C15"/>
    <mergeCell ref="A16:C16"/>
    <mergeCell ref="A17:C17"/>
    <mergeCell ref="A18:B18"/>
    <mergeCell ref="C18:G18"/>
    <mergeCell ref="A27:G28"/>
    <mergeCell ref="A29:F29"/>
    <mergeCell ref="A20:B20"/>
    <mergeCell ref="A22:B22"/>
    <mergeCell ref="A23:B23"/>
    <mergeCell ref="A24:B24"/>
    <mergeCell ref="A25:B25"/>
    <mergeCell ref="A26:E26"/>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4"/>
  <sheetViews>
    <sheetView topLeftCell="A27" workbookViewId="0">
      <selection activeCell="J23" sqref="J23"/>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48.75" customHeight="1" x14ac:dyDescent="0.25">
      <c r="A7" s="15" t="str">
        <f>+TABACAL!A25</f>
        <v>6.1</v>
      </c>
      <c r="B7" s="235" t="str">
        <f>+TABACAL!B25</f>
        <v>Suministro, transporte e instalación de baldosa de grano, incluye pulida, dilataciones, acabados y todo lo necesario para su correcto funcionamiento</v>
      </c>
      <c r="C7" s="235"/>
      <c r="D7" s="235"/>
      <c r="E7" s="235"/>
      <c r="F7" s="16" t="str">
        <f>+TABACAL!C25</f>
        <v>m2</v>
      </c>
      <c r="G7" s="53">
        <f>+TABACAL!D25</f>
        <v>185.89</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230</v>
      </c>
      <c r="B12" s="220"/>
      <c r="C12" s="220"/>
      <c r="D12" s="220"/>
      <c r="E12" s="89">
        <v>45000</v>
      </c>
      <c r="F12" s="81">
        <v>5.6000000000000001E-2</v>
      </c>
      <c r="G12" s="22">
        <f>+E12*F12</f>
        <v>2520</v>
      </c>
    </row>
    <row r="13" spans="1:7" x14ac:dyDescent="0.25">
      <c r="A13" s="219" t="s">
        <v>60</v>
      </c>
      <c r="B13" s="220"/>
      <c r="C13" s="220"/>
      <c r="D13" s="220"/>
      <c r="E13" s="20"/>
      <c r="F13" s="21"/>
      <c r="G13" s="22">
        <f>0.05*G27</f>
        <v>2794.5625</v>
      </c>
    </row>
    <row r="14" spans="1:7" ht="15.75" thickBot="1" x14ac:dyDescent="0.3">
      <c r="A14" s="23"/>
      <c r="F14" s="21" t="s">
        <v>45</v>
      </c>
      <c r="G14" s="22">
        <f>SUM(G12:G13)</f>
        <v>5314.5625</v>
      </c>
    </row>
    <row r="15" spans="1:7" ht="15.75" thickBot="1" x14ac:dyDescent="0.3">
      <c r="A15" s="231" t="s">
        <v>46</v>
      </c>
      <c r="B15" s="232"/>
      <c r="C15" s="225"/>
      <c r="D15" s="225"/>
      <c r="E15" s="225"/>
      <c r="F15" s="225"/>
      <c r="G15" s="226"/>
    </row>
    <row r="16" spans="1:7" x14ac:dyDescent="0.25">
      <c r="A16" s="254" t="s">
        <v>37</v>
      </c>
      <c r="B16" s="255"/>
      <c r="C16" s="255"/>
      <c r="D16" s="44" t="s">
        <v>47</v>
      </c>
      <c r="E16" s="44" t="s">
        <v>3</v>
      </c>
      <c r="F16" s="44" t="s">
        <v>48</v>
      </c>
      <c r="G16" s="45" t="s">
        <v>44</v>
      </c>
    </row>
    <row r="17" spans="1:10" x14ac:dyDescent="0.25">
      <c r="A17" s="259" t="s">
        <v>231</v>
      </c>
      <c r="B17" s="241"/>
      <c r="C17" s="242"/>
      <c r="D17" s="85" t="s">
        <v>11</v>
      </c>
      <c r="E17" s="85">
        <v>1</v>
      </c>
      <c r="F17" s="86">
        <v>75000</v>
      </c>
      <c r="G17" s="86">
        <f>+F17*E17</f>
        <v>75000</v>
      </c>
    </row>
    <row r="18" spans="1:10" x14ac:dyDescent="0.25">
      <c r="A18" s="259" t="s">
        <v>232</v>
      </c>
      <c r="B18" s="241"/>
      <c r="C18" s="242"/>
      <c r="D18" s="85" t="s">
        <v>15</v>
      </c>
      <c r="E18" s="85">
        <v>1</v>
      </c>
      <c r="F18" s="86">
        <v>6500</v>
      </c>
      <c r="G18" s="86">
        <f t="shared" ref="G18:G22" si="0">+F18*E18</f>
        <v>6500</v>
      </c>
    </row>
    <row r="19" spans="1:10" x14ac:dyDescent="0.25">
      <c r="A19" s="259" t="s">
        <v>233</v>
      </c>
      <c r="B19" s="241"/>
      <c r="C19" s="242"/>
      <c r="D19" s="85" t="s">
        <v>19</v>
      </c>
      <c r="E19" s="85">
        <v>1</v>
      </c>
      <c r="F19" s="86">
        <v>2900</v>
      </c>
      <c r="G19" s="86">
        <f t="shared" si="0"/>
        <v>2900</v>
      </c>
    </row>
    <row r="20" spans="1:10" x14ac:dyDescent="0.25">
      <c r="A20" s="259" t="s">
        <v>234</v>
      </c>
      <c r="B20" s="241"/>
      <c r="C20" s="242"/>
      <c r="D20" s="85" t="s">
        <v>235</v>
      </c>
      <c r="E20" s="85">
        <v>4.1000000000000002E-2</v>
      </c>
      <c r="F20" s="86">
        <v>14980</v>
      </c>
      <c r="G20" s="86">
        <f t="shared" si="0"/>
        <v>614.18000000000006</v>
      </c>
    </row>
    <row r="21" spans="1:10" x14ac:dyDescent="0.25">
      <c r="A21" s="259" t="s">
        <v>238</v>
      </c>
      <c r="B21" s="241"/>
      <c r="C21" s="242"/>
      <c r="D21" s="85" t="s">
        <v>109</v>
      </c>
      <c r="E21" s="180">
        <v>4.6014251781472677E-2</v>
      </c>
      <c r="F21" s="86">
        <v>421000</v>
      </c>
      <c r="G21" s="86">
        <f t="shared" si="0"/>
        <v>19371.999999999996</v>
      </c>
    </row>
    <row r="22" spans="1:10" ht="34.5" customHeight="1" x14ac:dyDescent="0.25">
      <c r="A22" s="260" t="s">
        <v>236</v>
      </c>
      <c r="B22" s="241"/>
      <c r="C22" s="242"/>
      <c r="D22" s="85" t="s">
        <v>47</v>
      </c>
      <c r="E22" s="85">
        <v>2.5000000000000001E-3</v>
      </c>
      <c r="F22" s="86">
        <v>700000</v>
      </c>
      <c r="G22" s="86">
        <f t="shared" si="0"/>
        <v>1750</v>
      </c>
    </row>
    <row r="23" spans="1:10" x14ac:dyDescent="0.25">
      <c r="A23" s="220"/>
      <c r="B23" s="220"/>
      <c r="C23" s="220"/>
      <c r="D23" s="21"/>
      <c r="E23" s="21"/>
      <c r="F23" s="21" t="s">
        <v>45</v>
      </c>
      <c r="G23" s="46">
        <f>SUM(G17:G22)</f>
        <v>106136.18</v>
      </c>
    </row>
    <row r="24" spans="1:10" ht="12.75" customHeight="1" thickBot="1" x14ac:dyDescent="0.3">
      <c r="A24" s="252" t="s">
        <v>49</v>
      </c>
      <c r="B24" s="253"/>
      <c r="C24" s="233"/>
      <c r="D24" s="233"/>
      <c r="E24" s="233"/>
      <c r="F24" s="233"/>
      <c r="G24" s="234"/>
      <c r="J24" s="76"/>
    </row>
    <row r="25" spans="1:10" ht="15.75" thickBot="1" x14ac:dyDescent="0.3">
      <c r="A25" s="215" t="s">
        <v>50</v>
      </c>
      <c r="B25" s="216"/>
      <c r="C25" s="13" t="s">
        <v>51</v>
      </c>
      <c r="D25" s="13" t="s">
        <v>52</v>
      </c>
      <c r="E25" s="13" t="s">
        <v>53</v>
      </c>
      <c r="F25" s="13" t="s">
        <v>54</v>
      </c>
      <c r="G25" s="14" t="s">
        <v>44</v>
      </c>
    </row>
    <row r="26" spans="1:10" x14ac:dyDescent="0.25">
      <c r="A26" s="230" t="str">
        <f>+'insumos-MO'!B43</f>
        <v>Cuadrilla de construcción 1*1</v>
      </c>
      <c r="B26" s="218"/>
      <c r="C26" s="29">
        <f>+'insumos-MO'!E43</f>
        <v>223565</v>
      </c>
      <c r="D26" s="24"/>
      <c r="E26" s="29">
        <f>+C26</f>
        <v>223565</v>
      </c>
      <c r="F26" s="25">
        <v>4</v>
      </c>
      <c r="G26" s="27">
        <f>+E26/F26</f>
        <v>55891.25</v>
      </c>
    </row>
    <row r="27" spans="1:10" ht="15.75" thickBot="1" x14ac:dyDescent="0.3">
      <c r="A27" s="23"/>
      <c r="F27" s="21" t="s">
        <v>45</v>
      </c>
      <c r="G27" s="28">
        <f>SUM(G26)</f>
        <v>55891.25</v>
      </c>
    </row>
    <row r="28" spans="1:10" ht="15.75" thickBot="1" x14ac:dyDescent="0.3">
      <c r="A28" s="213" t="s">
        <v>55</v>
      </c>
      <c r="B28" s="214"/>
      <c r="G28" s="18"/>
    </row>
    <row r="29" spans="1:10" ht="15.75" thickBot="1" x14ac:dyDescent="0.3">
      <c r="A29" s="215" t="s">
        <v>56</v>
      </c>
      <c r="B29" s="216"/>
      <c r="C29" s="30" t="s">
        <v>38</v>
      </c>
      <c r="D29" s="13" t="s">
        <v>39</v>
      </c>
      <c r="E29" s="31"/>
      <c r="F29" s="13" t="s">
        <v>205</v>
      </c>
      <c r="G29" s="14" t="s">
        <v>44</v>
      </c>
    </row>
    <row r="30" spans="1:10" x14ac:dyDescent="0.25">
      <c r="A30" s="219" t="s">
        <v>237</v>
      </c>
      <c r="B30" s="220"/>
      <c r="C30" s="21" t="s">
        <v>38</v>
      </c>
      <c r="D30" s="21">
        <v>1</v>
      </c>
      <c r="E30" s="21"/>
      <c r="F30" s="87">
        <v>4833.007500000007</v>
      </c>
      <c r="G30" s="33">
        <f>+F30*D30</f>
        <v>4833.007500000007</v>
      </c>
    </row>
    <row r="31" spans="1:10" ht="43.5" customHeight="1" x14ac:dyDescent="0.25">
      <c r="A31" s="221"/>
      <c r="B31" s="222"/>
      <c r="C31" s="222"/>
      <c r="D31" s="222"/>
      <c r="E31" s="223"/>
      <c r="F31" s="21" t="s">
        <v>45</v>
      </c>
      <c r="G31" s="33">
        <f>+G30</f>
        <v>4833.007500000007</v>
      </c>
    </row>
    <row r="32" spans="1:10" x14ac:dyDescent="0.25">
      <c r="A32" s="224"/>
      <c r="B32" s="225"/>
      <c r="C32" s="225"/>
      <c r="D32" s="225"/>
      <c r="E32" s="225"/>
      <c r="F32" s="225"/>
      <c r="G32" s="226"/>
    </row>
    <row r="33" spans="1:8" ht="15.75" thickBot="1" x14ac:dyDescent="0.3">
      <c r="A33" s="227"/>
      <c r="B33" s="228"/>
      <c r="C33" s="228"/>
      <c r="D33" s="228"/>
      <c r="E33" s="228"/>
      <c r="F33" s="228"/>
      <c r="G33" s="229"/>
    </row>
    <row r="34" spans="1:8" ht="15.75" thickBot="1" x14ac:dyDescent="0.3">
      <c r="A34" s="210" t="s">
        <v>59</v>
      </c>
      <c r="B34" s="211"/>
      <c r="C34" s="211"/>
      <c r="D34" s="211"/>
      <c r="E34" s="211"/>
      <c r="F34" s="212"/>
      <c r="G34" s="47">
        <f>+G31+G27+G23+G14</f>
        <v>172175</v>
      </c>
      <c r="H34" s="11">
        <f>+TABACAL!E25</f>
        <v>172175</v>
      </c>
    </row>
  </sheetData>
  <mergeCells count="26">
    <mergeCell ref="A15:B15"/>
    <mergeCell ref="C15:G15"/>
    <mergeCell ref="A12:D12"/>
    <mergeCell ref="B6:E6"/>
    <mergeCell ref="B7:E7"/>
    <mergeCell ref="A8:G8"/>
    <mergeCell ref="A11:D11"/>
    <mergeCell ref="A13:D13"/>
    <mergeCell ref="A16:C16"/>
    <mergeCell ref="A22:C22"/>
    <mergeCell ref="A23:C23"/>
    <mergeCell ref="A24:B24"/>
    <mergeCell ref="C24:G24"/>
    <mergeCell ref="A32:G33"/>
    <mergeCell ref="A34:F34"/>
    <mergeCell ref="A17:C17"/>
    <mergeCell ref="A18:C18"/>
    <mergeCell ref="A19:C19"/>
    <mergeCell ref="A20:C20"/>
    <mergeCell ref="A21:C21"/>
    <mergeCell ref="A26:B26"/>
    <mergeCell ref="A28:B28"/>
    <mergeCell ref="A29:B29"/>
    <mergeCell ref="A30:B30"/>
    <mergeCell ref="A31:E31"/>
    <mergeCell ref="A25:B25"/>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8"/>
  <sheetViews>
    <sheetView topLeftCell="A19" workbookViewId="0">
      <selection activeCell="J20" sqref="J20"/>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48.75" customHeight="1" x14ac:dyDescent="0.25">
      <c r="A7" s="15">
        <f>+TABACAL!A26</f>
        <v>6.2</v>
      </c>
      <c r="B7" s="235" t="str">
        <f>+TABACAL!B26</f>
        <v>Construcción de mortero de nivelación 1:4 para pisos espesor hasta 5 cm</v>
      </c>
      <c r="C7" s="235"/>
      <c r="D7" s="235"/>
      <c r="E7" s="235"/>
      <c r="F7" s="16" t="str">
        <f>+TABACAL!C25</f>
        <v>m2</v>
      </c>
      <c r="G7" s="53">
        <f>+TABACAL!D26</f>
        <v>185.89</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0.05*G21</f>
        <v>1242.0277777777778</v>
      </c>
    </row>
    <row r="13" spans="1:7" ht="15.75" thickBot="1" x14ac:dyDescent="0.3">
      <c r="A13" s="23"/>
      <c r="F13" s="21" t="s">
        <v>45</v>
      </c>
      <c r="G13" s="22">
        <f>SUM(G12:G12)</f>
        <v>1242.0277777777778</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x14ac:dyDescent="0.25">
      <c r="A16" s="259" t="s">
        <v>110</v>
      </c>
      <c r="B16" s="241"/>
      <c r="C16" s="242"/>
      <c r="D16" s="85" t="s">
        <v>109</v>
      </c>
      <c r="E16" s="88">
        <v>5.9022367379255827E-2</v>
      </c>
      <c r="F16" s="86">
        <v>421000</v>
      </c>
      <c r="G16" s="86">
        <f t="shared" ref="G16" si="0">+F16*E16</f>
        <v>24848.416666666704</v>
      </c>
    </row>
    <row r="17" spans="1:10" x14ac:dyDescent="0.25">
      <c r="A17" s="220"/>
      <c r="B17" s="220"/>
      <c r="C17" s="220"/>
      <c r="D17" s="21"/>
      <c r="E17" s="21"/>
      <c r="F17" s="21" t="s">
        <v>45</v>
      </c>
      <c r="G17" s="46">
        <f>SUM(G16:G16)</f>
        <v>24848.416666666704</v>
      </c>
    </row>
    <row r="18" spans="1:10" ht="12.75" customHeight="1" thickBot="1" x14ac:dyDescent="0.3">
      <c r="A18" s="252" t="s">
        <v>49</v>
      </c>
      <c r="B18" s="253"/>
      <c r="C18" s="233"/>
      <c r="D18" s="233"/>
      <c r="E18" s="233"/>
      <c r="F18" s="233"/>
      <c r="G18" s="234"/>
      <c r="J18" s="76"/>
    </row>
    <row r="19" spans="1:10" ht="15.75" thickBot="1" x14ac:dyDescent="0.3">
      <c r="A19" s="215" t="s">
        <v>50</v>
      </c>
      <c r="B19" s="216"/>
      <c r="C19" s="13" t="s">
        <v>51</v>
      </c>
      <c r="D19" s="13" t="s">
        <v>52</v>
      </c>
      <c r="E19" s="13" t="s">
        <v>53</v>
      </c>
      <c r="F19" s="13" t="s">
        <v>54</v>
      </c>
      <c r="G19" s="14" t="s">
        <v>44</v>
      </c>
    </row>
    <row r="20" spans="1:10" x14ac:dyDescent="0.25">
      <c r="A20" s="230" t="str">
        <f>+'insumos-MO'!B43</f>
        <v>Cuadrilla de construcción 1*1</v>
      </c>
      <c r="B20" s="218"/>
      <c r="C20" s="29">
        <f>+'insumos-MO'!E43</f>
        <v>223565</v>
      </c>
      <c r="D20" s="24"/>
      <c r="E20" s="29">
        <f>+C20</f>
        <v>223565</v>
      </c>
      <c r="F20" s="25">
        <v>9</v>
      </c>
      <c r="G20" s="27">
        <f>+E20/F20</f>
        <v>24840.555555555555</v>
      </c>
    </row>
    <row r="21" spans="1:10" ht="15.75" thickBot="1" x14ac:dyDescent="0.3">
      <c r="A21" s="23"/>
      <c r="F21" s="21" t="s">
        <v>45</v>
      </c>
      <c r="G21" s="28">
        <f>SUM(G20)</f>
        <v>24840.555555555555</v>
      </c>
    </row>
    <row r="22" spans="1:10" ht="15.75" thickBot="1" x14ac:dyDescent="0.3">
      <c r="A22" s="213" t="s">
        <v>55</v>
      </c>
      <c r="B22" s="214"/>
      <c r="G22" s="18"/>
    </row>
    <row r="23" spans="1:10" ht="15.75" thickBot="1" x14ac:dyDescent="0.3">
      <c r="A23" s="215" t="s">
        <v>56</v>
      </c>
      <c r="B23" s="216"/>
      <c r="C23" s="30" t="s">
        <v>38</v>
      </c>
      <c r="D23" s="13" t="s">
        <v>39</v>
      </c>
      <c r="E23" s="31"/>
      <c r="F23" s="13" t="s">
        <v>205</v>
      </c>
      <c r="G23" s="14" t="s">
        <v>44</v>
      </c>
    </row>
    <row r="24" spans="1:10" x14ac:dyDescent="0.25">
      <c r="A24" s="219" t="s">
        <v>237</v>
      </c>
      <c r="B24" s="220"/>
      <c r="C24" s="21" t="s">
        <v>38</v>
      </c>
      <c r="D24" s="21">
        <v>1</v>
      </c>
      <c r="E24" s="21"/>
      <c r="F24" s="43">
        <v>5000</v>
      </c>
      <c r="G24" s="90">
        <f>+F24*D24</f>
        <v>5000</v>
      </c>
    </row>
    <row r="25" spans="1:10" ht="43.5" customHeight="1" x14ac:dyDescent="0.25">
      <c r="A25" s="221"/>
      <c r="B25" s="222"/>
      <c r="C25" s="222"/>
      <c r="D25" s="222"/>
      <c r="E25" s="223"/>
      <c r="F25" s="21" t="s">
        <v>45</v>
      </c>
      <c r="G25" s="90">
        <f>+G24</f>
        <v>5000</v>
      </c>
    </row>
    <row r="26" spans="1:10" x14ac:dyDescent="0.25">
      <c r="A26" s="224"/>
      <c r="B26" s="225"/>
      <c r="C26" s="225"/>
      <c r="D26" s="225"/>
      <c r="E26" s="225"/>
      <c r="F26" s="225"/>
      <c r="G26" s="226"/>
    </row>
    <row r="27" spans="1:10" ht="15.75" thickBot="1" x14ac:dyDescent="0.3">
      <c r="A27" s="227"/>
      <c r="B27" s="228"/>
      <c r="C27" s="228"/>
      <c r="D27" s="228"/>
      <c r="E27" s="228"/>
      <c r="F27" s="228"/>
      <c r="G27" s="229"/>
    </row>
    <row r="28" spans="1:10" ht="15.75" thickBot="1" x14ac:dyDescent="0.3">
      <c r="A28" s="210" t="s">
        <v>59</v>
      </c>
      <c r="B28" s="211"/>
      <c r="C28" s="211"/>
      <c r="D28" s="211"/>
      <c r="E28" s="211"/>
      <c r="F28" s="212"/>
      <c r="G28" s="47">
        <f>+G25+G21+G17+G13</f>
        <v>55931.000000000044</v>
      </c>
      <c r="H28" s="11">
        <f>+TABACAL!E26</f>
        <v>55931</v>
      </c>
    </row>
  </sheetData>
  <mergeCells count="20">
    <mergeCell ref="B6:E6"/>
    <mergeCell ref="B7:E7"/>
    <mergeCell ref="A8:G8"/>
    <mergeCell ref="A11:D11"/>
    <mergeCell ref="A12:D12"/>
    <mergeCell ref="A16:C16"/>
    <mergeCell ref="A17:C17"/>
    <mergeCell ref="A18:B18"/>
    <mergeCell ref="C18:G18"/>
    <mergeCell ref="A14:B14"/>
    <mergeCell ref="C14:G14"/>
    <mergeCell ref="A15:C15"/>
    <mergeCell ref="A26:G27"/>
    <mergeCell ref="A28:F28"/>
    <mergeCell ref="A19:B19"/>
    <mergeCell ref="A20:B20"/>
    <mergeCell ref="A22:B22"/>
    <mergeCell ref="A23:B23"/>
    <mergeCell ref="A24:B24"/>
    <mergeCell ref="A25:E25"/>
  </mergeCells>
  <pageMargins left="0.7" right="0.7" top="0.75" bottom="0.75" header="0.3" footer="0.3"/>
  <pageSetup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0"/>
  <sheetViews>
    <sheetView topLeftCell="A25" workbookViewId="0">
      <selection activeCell="E37" sqref="E37"/>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48.75" customHeight="1" x14ac:dyDescent="0.25">
      <c r="A7" s="15">
        <v>6.3</v>
      </c>
      <c r="B7" s="235" t="str">
        <f>+TABACAL!B27</f>
        <v>Concreto de 21 Mpa para LOSA MACIZA de piso e=10 cms, incluye: armado, preparación, encofrada, vaciado, vibrado, curado y desencofrado.  No incluye entresuelo. (Sin refuerzo)</v>
      </c>
      <c r="C7" s="235"/>
      <c r="D7" s="235"/>
      <c r="E7" s="235"/>
      <c r="F7" s="16" t="str">
        <f>+TABACAL!C25</f>
        <v>m2</v>
      </c>
      <c r="G7" s="53">
        <f>+TABACAL!D27</f>
        <v>185.89</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242</v>
      </c>
      <c r="B12" s="220"/>
      <c r="C12" s="220"/>
      <c r="D12" s="220"/>
      <c r="E12" s="89">
        <v>60000</v>
      </c>
      <c r="F12" s="81">
        <v>1.4999999999999999E-2</v>
      </c>
      <c r="G12" s="178">
        <f>+F12*E12</f>
        <v>900</v>
      </c>
    </row>
    <row r="13" spans="1:7" x14ac:dyDescent="0.25">
      <c r="A13" s="219" t="s">
        <v>60</v>
      </c>
      <c r="B13" s="220"/>
      <c r="C13" s="220"/>
      <c r="D13" s="220"/>
      <c r="E13" s="20"/>
      <c r="F13" s="21"/>
      <c r="G13" s="22">
        <f>0.05*G23</f>
        <v>2874.4071428571428</v>
      </c>
    </row>
    <row r="14" spans="1:7" ht="15.75" thickBot="1" x14ac:dyDescent="0.3">
      <c r="A14" s="23"/>
      <c r="F14" s="21" t="s">
        <v>45</v>
      </c>
      <c r="G14" s="22">
        <f>SUM(G12:G13)</f>
        <v>3774.4071428571428</v>
      </c>
    </row>
    <row r="15" spans="1:7" ht="15.75" thickBot="1" x14ac:dyDescent="0.3">
      <c r="A15" s="231" t="s">
        <v>46</v>
      </c>
      <c r="B15" s="232"/>
      <c r="C15" s="225"/>
      <c r="D15" s="225"/>
      <c r="E15" s="225"/>
      <c r="F15" s="225"/>
      <c r="G15" s="226"/>
    </row>
    <row r="16" spans="1:7" x14ac:dyDescent="0.25">
      <c r="A16" s="254" t="s">
        <v>37</v>
      </c>
      <c r="B16" s="255"/>
      <c r="C16" s="255"/>
      <c r="D16" s="44" t="s">
        <v>47</v>
      </c>
      <c r="E16" s="44" t="s">
        <v>3</v>
      </c>
      <c r="F16" s="44" t="s">
        <v>48</v>
      </c>
      <c r="G16" s="45" t="s">
        <v>44</v>
      </c>
    </row>
    <row r="17" spans="1:10" x14ac:dyDescent="0.25">
      <c r="A17" s="220" t="s">
        <v>239</v>
      </c>
      <c r="B17" s="220"/>
      <c r="C17" s="220"/>
      <c r="D17" s="52" t="s">
        <v>109</v>
      </c>
      <c r="E17" s="52">
        <v>0.12</v>
      </c>
      <c r="F17" s="91">
        <v>583245.41666666674</v>
      </c>
      <c r="G17" s="83">
        <f>+F17*E17</f>
        <v>69989.450000000012</v>
      </c>
    </row>
    <row r="18" spans="1:10" x14ac:dyDescent="0.25">
      <c r="A18" s="259" t="s">
        <v>240</v>
      </c>
      <c r="B18" s="241"/>
      <c r="C18" s="242"/>
      <c r="D18" s="85" t="s">
        <v>33</v>
      </c>
      <c r="E18" s="88">
        <v>1</v>
      </c>
      <c r="F18" s="86">
        <v>25000</v>
      </c>
      <c r="G18" s="86">
        <f t="shared" ref="G18" si="0">+F18*E18</f>
        <v>25000</v>
      </c>
    </row>
    <row r="19" spans="1:10" x14ac:dyDescent="0.25">
      <c r="A19" s="220"/>
      <c r="B19" s="220"/>
      <c r="C19" s="220"/>
      <c r="D19" s="21"/>
      <c r="E19" s="21"/>
      <c r="F19" s="21" t="s">
        <v>45</v>
      </c>
      <c r="G19" s="46">
        <f>SUM(G17:G18)</f>
        <v>94989.450000000012</v>
      </c>
    </row>
    <row r="20" spans="1:10" ht="12.75" customHeight="1" thickBot="1" x14ac:dyDescent="0.3">
      <c r="A20" s="252" t="s">
        <v>49</v>
      </c>
      <c r="B20" s="253"/>
      <c r="C20" s="233"/>
      <c r="D20" s="233"/>
      <c r="E20" s="233"/>
      <c r="F20" s="233"/>
      <c r="G20" s="234"/>
      <c r="J20" s="76"/>
    </row>
    <row r="21" spans="1:10" ht="15.75" thickBot="1" x14ac:dyDescent="0.3">
      <c r="A21" s="215" t="s">
        <v>50</v>
      </c>
      <c r="B21" s="216"/>
      <c r="C21" s="13" t="s">
        <v>51</v>
      </c>
      <c r="D21" s="13" t="s">
        <v>52</v>
      </c>
      <c r="E21" s="13" t="s">
        <v>53</v>
      </c>
      <c r="F21" s="13" t="s">
        <v>54</v>
      </c>
      <c r="G21" s="14" t="s">
        <v>44</v>
      </c>
    </row>
    <row r="22" spans="1:10" x14ac:dyDescent="0.25">
      <c r="A22" s="230" t="str">
        <f>+'insumos-MO'!B45</f>
        <v>Cuadrilla de construcción 1*3</v>
      </c>
      <c r="B22" s="218"/>
      <c r="C22" s="29">
        <f>+'insumos-MO'!E45</f>
        <v>402417</v>
      </c>
      <c r="D22" s="24"/>
      <c r="E22" s="29">
        <f>+C22</f>
        <v>402417</v>
      </c>
      <c r="F22" s="25">
        <v>7</v>
      </c>
      <c r="G22" s="27">
        <f>+E22/F22</f>
        <v>57488.142857142855</v>
      </c>
    </row>
    <row r="23" spans="1:10" ht="15.75" thickBot="1" x14ac:dyDescent="0.3">
      <c r="A23" s="23"/>
      <c r="F23" s="21" t="s">
        <v>45</v>
      </c>
      <c r="G23" s="28">
        <f>SUM(G22)</f>
        <v>57488.142857142855</v>
      </c>
    </row>
    <row r="24" spans="1:10" ht="15.75" thickBot="1" x14ac:dyDescent="0.3">
      <c r="A24" s="213" t="s">
        <v>55</v>
      </c>
      <c r="B24" s="214"/>
      <c r="G24" s="18"/>
    </row>
    <row r="25" spans="1:10" ht="15.75" thickBot="1" x14ac:dyDescent="0.3">
      <c r="A25" s="215" t="s">
        <v>56</v>
      </c>
      <c r="B25" s="216"/>
      <c r="C25" s="30" t="s">
        <v>38</v>
      </c>
      <c r="D25" s="13" t="s">
        <v>39</v>
      </c>
      <c r="E25" s="31"/>
      <c r="F25" s="13" t="s">
        <v>205</v>
      </c>
      <c r="G25" s="14" t="s">
        <v>44</v>
      </c>
    </row>
    <row r="26" spans="1:10" x14ac:dyDescent="0.25">
      <c r="A26" s="219" t="s">
        <v>241</v>
      </c>
      <c r="B26" s="220"/>
      <c r="C26" s="21" t="s">
        <v>38</v>
      </c>
      <c r="D26" s="21">
        <v>1</v>
      </c>
      <c r="E26" s="21"/>
      <c r="F26" s="43">
        <v>4100</v>
      </c>
      <c r="G26" s="90">
        <f>+F26*D26</f>
        <v>4100</v>
      </c>
    </row>
    <row r="27" spans="1:10" ht="43.5" customHeight="1" x14ac:dyDescent="0.25">
      <c r="A27" s="221"/>
      <c r="B27" s="222"/>
      <c r="C27" s="222"/>
      <c r="D27" s="222"/>
      <c r="E27" s="223"/>
      <c r="F27" s="21" t="s">
        <v>45</v>
      </c>
      <c r="G27" s="33">
        <f>+G26</f>
        <v>4100</v>
      </c>
    </row>
    <row r="28" spans="1:10" x14ac:dyDescent="0.25">
      <c r="A28" s="224"/>
      <c r="B28" s="225"/>
      <c r="C28" s="225"/>
      <c r="D28" s="225"/>
      <c r="E28" s="225"/>
      <c r="F28" s="225"/>
      <c r="G28" s="226"/>
    </row>
    <row r="29" spans="1:10" ht="15.75" thickBot="1" x14ac:dyDescent="0.3">
      <c r="A29" s="227"/>
      <c r="B29" s="228"/>
      <c r="C29" s="228"/>
      <c r="D29" s="228"/>
      <c r="E29" s="228"/>
      <c r="F29" s="228"/>
      <c r="G29" s="229"/>
    </row>
    <row r="30" spans="1:10" ht="15.75" thickBot="1" x14ac:dyDescent="0.3">
      <c r="A30" s="210" t="s">
        <v>59</v>
      </c>
      <c r="B30" s="211"/>
      <c r="C30" s="211"/>
      <c r="D30" s="211"/>
      <c r="E30" s="211"/>
      <c r="F30" s="212"/>
      <c r="G30" s="47">
        <f>+G27+G23+G19+G14</f>
        <v>160352</v>
      </c>
      <c r="H30" s="11">
        <f>+TABACAL!E27</f>
        <v>160352</v>
      </c>
    </row>
  </sheetData>
  <mergeCells count="22">
    <mergeCell ref="C15:G15"/>
    <mergeCell ref="B6:E6"/>
    <mergeCell ref="B7:E7"/>
    <mergeCell ref="A8:G8"/>
    <mergeCell ref="A11:D11"/>
    <mergeCell ref="A13:D13"/>
    <mergeCell ref="A30:F30"/>
    <mergeCell ref="A12:D12"/>
    <mergeCell ref="A17:C17"/>
    <mergeCell ref="A22:B22"/>
    <mergeCell ref="A24:B24"/>
    <mergeCell ref="A25:B25"/>
    <mergeCell ref="A26:B26"/>
    <mergeCell ref="A27:E27"/>
    <mergeCell ref="A28:G29"/>
    <mergeCell ref="A16:C16"/>
    <mergeCell ref="A18:C18"/>
    <mergeCell ref="A19:C19"/>
    <mergeCell ref="A20:B20"/>
    <mergeCell ref="C20:G20"/>
    <mergeCell ref="A21:B21"/>
    <mergeCell ref="A15:B15"/>
  </mergeCell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F37" sqref="F37"/>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48.75" customHeight="1" x14ac:dyDescent="0.25">
      <c r="A7" s="15">
        <v>6.4</v>
      </c>
      <c r="B7" s="235" t="str">
        <f>+TABACAL!B28</f>
        <v>Suministro transporte e instalación de guarda escoba piso en baldosa de grano pulido, incluye pega lechada y demás elementos necesarios para su correcta instalación</v>
      </c>
      <c r="C7" s="235"/>
      <c r="D7" s="235"/>
      <c r="E7" s="235"/>
      <c r="F7" s="16" t="s">
        <v>19</v>
      </c>
      <c r="G7" s="53">
        <f>+TABACAL!D28</f>
        <v>67.25</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230</v>
      </c>
      <c r="B12" s="220"/>
      <c r="C12" s="220"/>
      <c r="D12" s="220"/>
      <c r="E12" s="89">
        <v>45000</v>
      </c>
      <c r="F12" s="81">
        <v>0.02</v>
      </c>
      <c r="G12" s="178">
        <f>+F12*E12</f>
        <v>900</v>
      </c>
    </row>
    <row r="13" spans="1:7" x14ac:dyDescent="0.25">
      <c r="A13" s="219" t="s">
        <v>60</v>
      </c>
      <c r="B13" s="220"/>
      <c r="C13" s="220"/>
      <c r="D13" s="220"/>
      <c r="E13" s="20"/>
      <c r="F13" s="21"/>
      <c r="G13" s="22">
        <f>0.05*G25</f>
        <v>1829.1681818181821</v>
      </c>
    </row>
    <row r="14" spans="1:7" ht="15.75" thickBot="1" x14ac:dyDescent="0.3">
      <c r="A14" s="23"/>
      <c r="F14" s="21" t="s">
        <v>45</v>
      </c>
      <c r="G14" s="22">
        <f>SUM(G12:G13)</f>
        <v>2729.1681818181823</v>
      </c>
    </row>
    <row r="15" spans="1:7" ht="15.75" thickBot="1" x14ac:dyDescent="0.3">
      <c r="A15" s="231" t="s">
        <v>46</v>
      </c>
      <c r="B15" s="232"/>
      <c r="C15" s="225"/>
      <c r="D15" s="225"/>
      <c r="E15" s="225"/>
      <c r="F15" s="225"/>
      <c r="G15" s="226"/>
    </row>
    <row r="16" spans="1:7" x14ac:dyDescent="0.25">
      <c r="A16" s="254" t="s">
        <v>37</v>
      </c>
      <c r="B16" s="255"/>
      <c r="C16" s="255"/>
      <c r="D16" s="44" t="s">
        <v>47</v>
      </c>
      <c r="E16" s="44" t="s">
        <v>3</v>
      </c>
      <c r="F16" s="44" t="s">
        <v>48</v>
      </c>
      <c r="G16" s="45" t="s">
        <v>44</v>
      </c>
    </row>
    <row r="17" spans="1:10" x14ac:dyDescent="0.25">
      <c r="A17" s="259" t="s">
        <v>231</v>
      </c>
      <c r="B17" s="241"/>
      <c r="C17" s="242"/>
      <c r="D17" s="85" t="s">
        <v>11</v>
      </c>
      <c r="E17" s="85">
        <v>0.33300000000000002</v>
      </c>
      <c r="F17" s="86">
        <v>75000</v>
      </c>
      <c r="G17" s="83">
        <f>+F17*E17</f>
        <v>24975</v>
      </c>
    </row>
    <row r="18" spans="1:10" x14ac:dyDescent="0.25">
      <c r="A18" s="259" t="s">
        <v>238</v>
      </c>
      <c r="B18" s="241"/>
      <c r="C18" s="242"/>
      <c r="D18" s="85" t="s">
        <v>109</v>
      </c>
      <c r="E18" s="85">
        <v>2E-3</v>
      </c>
      <c r="F18" s="86">
        <v>421000</v>
      </c>
      <c r="G18" s="83">
        <f>+F18*E18</f>
        <v>842</v>
      </c>
    </row>
    <row r="19" spans="1:10" x14ac:dyDescent="0.25">
      <c r="A19" s="259" t="s">
        <v>234</v>
      </c>
      <c r="B19" s="241"/>
      <c r="C19" s="242"/>
      <c r="D19" s="85" t="s">
        <v>235</v>
      </c>
      <c r="E19" s="85">
        <v>8.0000000000000002E-3</v>
      </c>
      <c r="F19" s="86">
        <v>14980</v>
      </c>
      <c r="G19" s="83">
        <f>+F19*E19</f>
        <v>119.84</v>
      </c>
    </row>
    <row r="20" spans="1:10" x14ac:dyDescent="0.25">
      <c r="A20" s="220"/>
      <c r="B20" s="220"/>
      <c r="C20" s="220"/>
      <c r="D20" s="52"/>
      <c r="E20" s="52"/>
      <c r="F20" s="91"/>
      <c r="G20" s="83"/>
    </row>
    <row r="21" spans="1:10" x14ac:dyDescent="0.25">
      <c r="A21" s="220"/>
      <c r="B21" s="220"/>
      <c r="C21" s="220"/>
      <c r="D21" s="21"/>
      <c r="E21" s="21"/>
      <c r="F21" s="21" t="s">
        <v>45</v>
      </c>
      <c r="G21" s="46">
        <f>SUM(G17:G20)</f>
        <v>25936.84</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+'insumos-MO'!B45</f>
        <v>Cuadrilla de construcción 1*3</v>
      </c>
      <c r="B24" s="218"/>
      <c r="C24" s="29">
        <f>+'insumos-MO'!E45</f>
        <v>402417</v>
      </c>
      <c r="D24" s="24"/>
      <c r="E24" s="29">
        <f>+C24</f>
        <v>402417</v>
      </c>
      <c r="F24" s="25">
        <v>11</v>
      </c>
      <c r="G24" s="27">
        <f>+E24/F24</f>
        <v>36583.36363636364</v>
      </c>
    </row>
    <row r="25" spans="1:10" ht="15.75" thickBot="1" x14ac:dyDescent="0.3">
      <c r="A25" s="23"/>
      <c r="F25" s="21" t="s">
        <v>45</v>
      </c>
      <c r="G25" s="28">
        <f>SUM(G24)</f>
        <v>36583.36363636364</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3645.6281818181797</v>
      </c>
      <c r="G28" s="90">
        <f>+F28*D28</f>
        <v>3645.6281818181797</v>
      </c>
    </row>
    <row r="29" spans="1:10" ht="43.5" customHeight="1" x14ac:dyDescent="0.25">
      <c r="A29" s="221"/>
      <c r="B29" s="222"/>
      <c r="C29" s="222"/>
      <c r="D29" s="222"/>
      <c r="E29" s="223"/>
      <c r="F29" s="21" t="s">
        <v>45</v>
      </c>
      <c r="G29" s="181">
        <f>+G28</f>
        <v>3645.6281818181797</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+G29+G25+G21+G14</f>
        <v>68895</v>
      </c>
      <c r="H32" s="11">
        <f>+TABACAL!E28</f>
        <v>68895</v>
      </c>
    </row>
  </sheetData>
  <mergeCells count="24">
    <mergeCell ref="A13:D13"/>
    <mergeCell ref="B6:E6"/>
    <mergeCell ref="B7:E7"/>
    <mergeCell ref="A8:G8"/>
    <mergeCell ref="A11:D11"/>
    <mergeCell ref="A12:D12"/>
    <mergeCell ref="A15:B15"/>
    <mergeCell ref="C15:G15"/>
    <mergeCell ref="A16:C16"/>
    <mergeCell ref="A17:C17"/>
    <mergeCell ref="A21:C21"/>
    <mergeCell ref="A28:B28"/>
    <mergeCell ref="A29:E29"/>
    <mergeCell ref="A30:G31"/>
    <mergeCell ref="A32:F32"/>
    <mergeCell ref="A18:C18"/>
    <mergeCell ref="A19:C19"/>
    <mergeCell ref="A20:C20"/>
    <mergeCell ref="A22:B22"/>
    <mergeCell ref="C22:G22"/>
    <mergeCell ref="A23:B23"/>
    <mergeCell ref="A24:B24"/>
    <mergeCell ref="A26:B26"/>
    <mergeCell ref="A27:B27"/>
  </mergeCell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6"/>
  <sheetViews>
    <sheetView topLeftCell="A32" workbookViewId="0">
      <selection activeCell="C41" sqref="C41"/>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150" customHeight="1" x14ac:dyDescent="0.25">
      <c r="A7" s="15">
        <v>7.1</v>
      </c>
      <c r="B7" s="235" t="str">
        <f>+TABACAL!B30</f>
        <v>Mantenimiento y reposición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C7" s="235"/>
      <c r="D7" s="235"/>
      <c r="E7" s="235"/>
      <c r="F7" s="16" t="s">
        <v>38</v>
      </c>
      <c r="G7" s="53">
        <f>+TABACAL!D30</f>
        <v>30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0.05*G28</f>
        <v>372.60833333333335</v>
      </c>
    </row>
    <row r="13" spans="1:7" ht="15.75" thickBot="1" x14ac:dyDescent="0.3">
      <c r="A13" s="23"/>
      <c r="F13" s="21" t="s">
        <v>45</v>
      </c>
      <c r="G13" s="22">
        <f>SUM(G12:G12)</f>
        <v>372.60833333333335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3.75" customHeight="1" x14ac:dyDescent="0.25">
      <c r="A16" s="260" t="s">
        <v>243</v>
      </c>
      <c r="B16" s="261"/>
      <c r="C16" s="262"/>
      <c r="D16" s="85" t="s">
        <v>9</v>
      </c>
      <c r="E16" s="85">
        <v>4</v>
      </c>
      <c r="F16" s="86">
        <v>5200</v>
      </c>
      <c r="G16" s="83">
        <f>+F16*E16</f>
        <v>20800</v>
      </c>
    </row>
    <row r="17" spans="1:10" x14ac:dyDescent="0.25">
      <c r="A17" s="259" t="s">
        <v>244</v>
      </c>
      <c r="B17" s="241"/>
      <c r="C17" s="242"/>
      <c r="D17" s="85" t="s">
        <v>47</v>
      </c>
      <c r="E17" s="85">
        <v>1</v>
      </c>
      <c r="F17" s="86">
        <v>750</v>
      </c>
      <c r="G17" s="83">
        <f t="shared" ref="G17:G23" si="0">+F17*E17</f>
        <v>750</v>
      </c>
    </row>
    <row r="18" spans="1:10" x14ac:dyDescent="0.25">
      <c r="A18" s="259" t="s">
        <v>245</v>
      </c>
      <c r="B18" s="241"/>
      <c r="C18" s="242"/>
      <c r="D18" s="85" t="s">
        <v>47</v>
      </c>
      <c r="E18" s="85">
        <v>1</v>
      </c>
      <c r="F18" s="86">
        <v>950</v>
      </c>
      <c r="G18" s="83">
        <f t="shared" si="0"/>
        <v>950</v>
      </c>
    </row>
    <row r="19" spans="1:10" x14ac:dyDescent="0.25">
      <c r="A19" s="259" t="s">
        <v>246</v>
      </c>
      <c r="B19" s="241"/>
      <c r="C19" s="242"/>
      <c r="D19" s="85" t="s">
        <v>47</v>
      </c>
      <c r="E19" s="85">
        <v>1</v>
      </c>
      <c r="F19" s="86">
        <v>1200</v>
      </c>
      <c r="G19" s="83">
        <f t="shared" si="0"/>
        <v>1200</v>
      </c>
    </row>
    <row r="20" spans="1:10" x14ac:dyDescent="0.25">
      <c r="A20" s="259" t="s">
        <v>247</v>
      </c>
      <c r="B20" s="241"/>
      <c r="C20" s="242"/>
      <c r="D20" s="85" t="s">
        <v>47</v>
      </c>
      <c r="E20" s="85">
        <v>1</v>
      </c>
      <c r="F20" s="86">
        <v>650</v>
      </c>
      <c r="G20" s="83">
        <f t="shared" si="0"/>
        <v>650</v>
      </c>
    </row>
    <row r="21" spans="1:10" x14ac:dyDescent="0.25">
      <c r="A21" s="259" t="s">
        <v>248</v>
      </c>
      <c r="B21" s="241"/>
      <c r="C21" s="242"/>
      <c r="D21" s="85" t="s">
        <v>47</v>
      </c>
      <c r="E21" s="85">
        <v>1</v>
      </c>
      <c r="F21" s="86">
        <v>750</v>
      </c>
      <c r="G21" s="83">
        <f t="shared" si="0"/>
        <v>750</v>
      </c>
    </row>
    <row r="22" spans="1:10" x14ac:dyDescent="0.25">
      <c r="A22" s="259" t="s">
        <v>249</v>
      </c>
      <c r="B22" s="241"/>
      <c r="C22" s="242"/>
      <c r="D22" s="52" t="s">
        <v>47</v>
      </c>
      <c r="E22" s="52">
        <v>3.5000000000000001E-3</v>
      </c>
      <c r="F22" s="91">
        <v>98500</v>
      </c>
      <c r="G22" s="83">
        <f t="shared" si="0"/>
        <v>344.75</v>
      </c>
    </row>
    <row r="23" spans="1:10" x14ac:dyDescent="0.25">
      <c r="A23" s="220" t="s">
        <v>250</v>
      </c>
      <c r="B23" s="220"/>
      <c r="C23" s="220"/>
      <c r="D23" s="52" t="s">
        <v>47</v>
      </c>
      <c r="E23" s="52">
        <v>3.5000000000000001E-3</v>
      </c>
      <c r="F23" s="91">
        <v>65000</v>
      </c>
      <c r="G23" s="83">
        <f t="shared" si="0"/>
        <v>227.5</v>
      </c>
    </row>
    <row r="24" spans="1:10" x14ac:dyDescent="0.25">
      <c r="A24" s="220"/>
      <c r="B24" s="220"/>
      <c r="C24" s="220"/>
      <c r="D24" s="21"/>
      <c r="E24" s="21"/>
      <c r="F24" s="21" t="s">
        <v>45</v>
      </c>
      <c r="G24" s="46">
        <f>SUM(G16:G23)</f>
        <v>25672.25</v>
      </c>
    </row>
    <row r="25" spans="1:10" ht="12.75" customHeight="1" thickBot="1" x14ac:dyDescent="0.3">
      <c r="A25" s="252" t="s">
        <v>49</v>
      </c>
      <c r="B25" s="253"/>
      <c r="C25" s="233"/>
      <c r="D25" s="233"/>
      <c r="E25" s="233"/>
      <c r="F25" s="233"/>
      <c r="G25" s="234"/>
      <c r="J25" s="76"/>
    </row>
    <row r="26" spans="1:10" ht="15.75" thickBot="1" x14ac:dyDescent="0.3">
      <c r="A26" s="215" t="s">
        <v>50</v>
      </c>
      <c r="B26" s="216"/>
      <c r="C26" s="13" t="s">
        <v>51</v>
      </c>
      <c r="D26" s="13" t="s">
        <v>52</v>
      </c>
      <c r="E26" s="13" t="s">
        <v>53</v>
      </c>
      <c r="F26" s="13" t="s">
        <v>54</v>
      </c>
      <c r="G26" s="14" t="s">
        <v>44</v>
      </c>
    </row>
    <row r="27" spans="1:10" x14ac:dyDescent="0.25">
      <c r="A27" s="230" t="str">
        <f>+'insumos-MO'!B43</f>
        <v>Cuadrilla de construcción 1*1</v>
      </c>
      <c r="B27" s="218"/>
      <c r="C27" s="29">
        <f>+'insumos-MO'!E43</f>
        <v>223565</v>
      </c>
      <c r="D27" s="24"/>
      <c r="E27" s="29">
        <f>+C27</f>
        <v>223565</v>
      </c>
      <c r="F27" s="25">
        <v>30</v>
      </c>
      <c r="G27" s="27">
        <f>+E27/F27</f>
        <v>7452.166666666667</v>
      </c>
    </row>
    <row r="28" spans="1:10" ht="15.75" thickBot="1" x14ac:dyDescent="0.3">
      <c r="A28" s="23"/>
      <c r="F28" s="21" t="s">
        <v>45</v>
      </c>
      <c r="G28" s="28">
        <f>SUM(G27)</f>
        <v>7452.166666666667</v>
      </c>
    </row>
    <row r="29" spans="1:10" ht="15.75" thickBot="1" x14ac:dyDescent="0.3">
      <c r="A29" s="213" t="s">
        <v>55</v>
      </c>
      <c r="B29" s="214"/>
      <c r="G29" s="18"/>
    </row>
    <row r="30" spans="1:10" ht="15.75" thickBot="1" x14ac:dyDescent="0.3">
      <c r="A30" s="215" t="s">
        <v>56</v>
      </c>
      <c r="B30" s="216"/>
      <c r="C30" s="30" t="s">
        <v>38</v>
      </c>
      <c r="D30" s="13" t="s">
        <v>39</v>
      </c>
      <c r="E30" s="31"/>
      <c r="F30" s="13" t="s">
        <v>205</v>
      </c>
      <c r="G30" s="14" t="s">
        <v>44</v>
      </c>
    </row>
    <row r="31" spans="1:10" x14ac:dyDescent="0.25">
      <c r="A31" s="219" t="s">
        <v>251</v>
      </c>
      <c r="B31" s="220"/>
      <c r="C31" s="93" t="s">
        <v>38</v>
      </c>
      <c r="D31" s="78">
        <v>1</v>
      </c>
      <c r="E31" s="94"/>
      <c r="F31" s="92">
        <v>2069.9749999999985</v>
      </c>
      <c r="G31" s="90">
        <f>+F31*D31</f>
        <v>2069.9749999999985</v>
      </c>
    </row>
    <row r="32" spans="1:10" x14ac:dyDescent="0.25">
      <c r="A32" s="219" t="s">
        <v>241</v>
      </c>
      <c r="B32" s="220"/>
      <c r="C32" s="21" t="s">
        <v>38</v>
      </c>
      <c r="D32" s="21">
        <v>1</v>
      </c>
      <c r="E32" s="21"/>
      <c r="F32" s="92">
        <v>1500</v>
      </c>
      <c r="G32" s="90">
        <f>+F32*D32</f>
        <v>1500</v>
      </c>
    </row>
    <row r="33" spans="1:8" ht="43.5" customHeight="1" x14ac:dyDescent="0.25">
      <c r="A33" s="221"/>
      <c r="B33" s="222"/>
      <c r="C33" s="222"/>
      <c r="D33" s="222"/>
      <c r="E33" s="223"/>
      <c r="F33" s="21" t="s">
        <v>45</v>
      </c>
      <c r="G33" s="95">
        <f>SUM(G31:G32)</f>
        <v>3569.9749999999985</v>
      </c>
    </row>
    <row r="34" spans="1:8" x14ac:dyDescent="0.25">
      <c r="A34" s="224"/>
      <c r="B34" s="225"/>
      <c r="C34" s="225"/>
      <c r="D34" s="225"/>
      <c r="E34" s="225"/>
      <c r="F34" s="225"/>
      <c r="G34" s="226"/>
    </row>
    <row r="35" spans="1:8" ht="15.75" thickBot="1" x14ac:dyDescent="0.3">
      <c r="A35" s="227"/>
      <c r="B35" s="228"/>
      <c r="C35" s="228"/>
      <c r="D35" s="228"/>
      <c r="E35" s="228"/>
      <c r="F35" s="228"/>
      <c r="G35" s="229"/>
    </row>
    <row r="36" spans="1:8" ht="15.75" thickBot="1" x14ac:dyDescent="0.3">
      <c r="A36" s="210" t="s">
        <v>59</v>
      </c>
      <c r="B36" s="211"/>
      <c r="C36" s="211"/>
      <c r="D36" s="211"/>
      <c r="E36" s="211"/>
      <c r="F36" s="212"/>
      <c r="G36" s="47">
        <f>+G33+G28+G24+G13</f>
        <v>37066.999999999993</v>
      </c>
      <c r="H36" s="11">
        <f>+TABACAL!E30</f>
        <v>37067</v>
      </c>
    </row>
  </sheetData>
  <mergeCells count="28">
    <mergeCell ref="A18:C18"/>
    <mergeCell ref="B6:E6"/>
    <mergeCell ref="B7:E7"/>
    <mergeCell ref="A8:G8"/>
    <mergeCell ref="A11:D11"/>
    <mergeCell ref="A12:D12"/>
    <mergeCell ref="A14:B14"/>
    <mergeCell ref="C14:G14"/>
    <mergeCell ref="A15:C15"/>
    <mergeCell ref="A16:C16"/>
    <mergeCell ref="A17:C17"/>
    <mergeCell ref="A32:B32"/>
    <mergeCell ref="A33:E33"/>
    <mergeCell ref="A34:G35"/>
    <mergeCell ref="A36:F36"/>
    <mergeCell ref="A22:C22"/>
    <mergeCell ref="A24:C24"/>
    <mergeCell ref="A25:B25"/>
    <mergeCell ref="C25:G25"/>
    <mergeCell ref="A26:B26"/>
    <mergeCell ref="A27:B27"/>
    <mergeCell ref="A19:C19"/>
    <mergeCell ref="A20:C20"/>
    <mergeCell ref="A21:C21"/>
    <mergeCell ref="A23:C23"/>
    <mergeCell ref="A31:B31"/>
    <mergeCell ref="A29:B29"/>
    <mergeCell ref="A30:B30"/>
  </mergeCell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4"/>
  <sheetViews>
    <sheetView topLeftCell="A25" workbookViewId="0">
      <selection activeCell="C24" sqref="C24:G24"/>
    </sheetView>
  </sheetViews>
  <sheetFormatPr baseColWidth="10" defaultRowHeight="15" x14ac:dyDescent="0.25"/>
  <cols>
    <col min="1" max="1" width="15.42578125" customWidth="1"/>
    <col min="2" max="2" width="17"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96.75" customHeight="1" x14ac:dyDescent="0.25">
      <c r="A7" s="15">
        <v>7.2</v>
      </c>
      <c r="B7" s="235" t="str">
        <f>+TABACAL!B31</f>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pagarán en su ítem respectivo.</v>
      </c>
      <c r="C7" s="235"/>
      <c r="D7" s="235"/>
      <c r="E7" s="235"/>
      <c r="F7" s="16" t="s">
        <v>19</v>
      </c>
      <c r="G7" s="53">
        <f>+TABACAL!D31</f>
        <v>20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0.05*G27</f>
        <v>372.60833333333335</v>
      </c>
    </row>
    <row r="13" spans="1:7" ht="15.75" thickBot="1" x14ac:dyDescent="0.3">
      <c r="A13" s="23"/>
      <c r="F13" s="21" t="s">
        <v>45</v>
      </c>
      <c r="G13" s="22">
        <f>SUM(G12:G12)</f>
        <v>372.60833333333335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3.75" customHeight="1" x14ac:dyDescent="0.25">
      <c r="A16" s="260" t="s">
        <v>252</v>
      </c>
      <c r="B16" s="261"/>
      <c r="C16" s="262"/>
      <c r="D16" s="85" t="s">
        <v>9</v>
      </c>
      <c r="E16" s="85">
        <v>1</v>
      </c>
      <c r="F16" s="96">
        <v>15299.724999999999</v>
      </c>
      <c r="G16" s="83">
        <f>+F16*E16</f>
        <v>15299.724999999999</v>
      </c>
    </row>
    <row r="17" spans="1:10" x14ac:dyDescent="0.25">
      <c r="A17" s="259" t="s">
        <v>253</v>
      </c>
      <c r="B17" s="241"/>
      <c r="C17" s="242"/>
      <c r="D17" s="85" t="s">
        <v>47</v>
      </c>
      <c r="E17" s="85">
        <v>0.3</v>
      </c>
      <c r="F17" s="86">
        <v>1550</v>
      </c>
      <c r="G17" s="83">
        <f t="shared" ref="G17:G22" si="0">+F17*E17</f>
        <v>465</v>
      </c>
    </row>
    <row r="18" spans="1:10" x14ac:dyDescent="0.25">
      <c r="A18" s="259" t="s">
        <v>254</v>
      </c>
      <c r="B18" s="241"/>
      <c r="C18" s="242"/>
      <c r="D18" s="85" t="s">
        <v>47</v>
      </c>
      <c r="E18" s="85">
        <v>0.15</v>
      </c>
      <c r="F18" s="86">
        <v>4500</v>
      </c>
      <c r="G18" s="83">
        <f t="shared" si="0"/>
        <v>675</v>
      </c>
    </row>
    <row r="19" spans="1:10" x14ac:dyDescent="0.25">
      <c r="A19" s="259" t="s">
        <v>255</v>
      </c>
      <c r="B19" s="241"/>
      <c r="C19" s="242"/>
      <c r="D19" s="85" t="s">
        <v>47</v>
      </c>
      <c r="E19" s="85">
        <v>0.15</v>
      </c>
      <c r="F19" s="86">
        <v>5100</v>
      </c>
      <c r="G19" s="83">
        <f t="shared" si="0"/>
        <v>765</v>
      </c>
    </row>
    <row r="20" spans="1:10" x14ac:dyDescent="0.25">
      <c r="A20" s="259" t="s">
        <v>256</v>
      </c>
      <c r="B20" s="241"/>
      <c r="C20" s="242"/>
      <c r="D20" s="85" t="s">
        <v>47</v>
      </c>
      <c r="E20" s="85">
        <v>0.15</v>
      </c>
      <c r="F20" s="86">
        <v>7500</v>
      </c>
      <c r="G20" s="83">
        <f t="shared" si="0"/>
        <v>1125</v>
      </c>
    </row>
    <row r="21" spans="1:10" x14ac:dyDescent="0.25">
      <c r="A21" s="259" t="s">
        <v>249</v>
      </c>
      <c r="B21" s="241"/>
      <c r="C21" s="242"/>
      <c r="D21" s="52" t="s">
        <v>47</v>
      </c>
      <c r="E21" s="52">
        <v>1E-3</v>
      </c>
      <c r="F21" s="91">
        <v>98500</v>
      </c>
      <c r="G21" s="83">
        <f t="shared" si="0"/>
        <v>98.5</v>
      </c>
    </row>
    <row r="22" spans="1:10" x14ac:dyDescent="0.25">
      <c r="A22" s="220" t="s">
        <v>250</v>
      </c>
      <c r="B22" s="220"/>
      <c r="C22" s="220"/>
      <c r="D22" s="52" t="s">
        <v>47</v>
      </c>
      <c r="E22" s="52">
        <v>1E-3</v>
      </c>
      <c r="F22" s="91">
        <v>65000</v>
      </c>
      <c r="G22" s="83">
        <f t="shared" si="0"/>
        <v>65</v>
      </c>
    </row>
    <row r="23" spans="1:10" x14ac:dyDescent="0.25">
      <c r="A23" s="220"/>
      <c r="B23" s="220"/>
      <c r="C23" s="220"/>
      <c r="D23" s="21"/>
      <c r="E23" s="21"/>
      <c r="F23" s="21" t="s">
        <v>45</v>
      </c>
      <c r="G23" s="46">
        <f>SUM(G16:G22)</f>
        <v>18493.224999999999</v>
      </c>
    </row>
    <row r="24" spans="1:10" ht="12.75" customHeight="1" thickBot="1" x14ac:dyDescent="0.3">
      <c r="A24" s="252" t="s">
        <v>49</v>
      </c>
      <c r="B24" s="253"/>
      <c r="C24" s="233"/>
      <c r="D24" s="233"/>
      <c r="E24" s="233"/>
      <c r="F24" s="233"/>
      <c r="G24" s="234"/>
      <c r="J24" s="76"/>
    </row>
    <row r="25" spans="1:10" ht="15.75" thickBot="1" x14ac:dyDescent="0.3">
      <c r="A25" s="215" t="s">
        <v>50</v>
      </c>
      <c r="B25" s="216"/>
      <c r="C25" s="13" t="s">
        <v>51</v>
      </c>
      <c r="D25" s="13" t="s">
        <v>52</v>
      </c>
      <c r="E25" s="13" t="s">
        <v>53</v>
      </c>
      <c r="F25" s="13" t="s">
        <v>54</v>
      </c>
      <c r="G25" s="14" t="s">
        <v>44</v>
      </c>
    </row>
    <row r="26" spans="1:10" x14ac:dyDescent="0.25">
      <c r="A26" s="230" t="str">
        <f>+'insumos-MO'!B43</f>
        <v>Cuadrilla de construcción 1*1</v>
      </c>
      <c r="B26" s="218"/>
      <c r="C26" s="29">
        <f>+'insumos-MO'!E43</f>
        <v>223565</v>
      </c>
      <c r="D26" s="24"/>
      <c r="E26" s="29">
        <f>+C26</f>
        <v>223565</v>
      </c>
      <c r="F26" s="25">
        <v>30</v>
      </c>
      <c r="G26" s="27">
        <f>+E26/F26</f>
        <v>7452.166666666667</v>
      </c>
    </row>
    <row r="27" spans="1:10" ht="15.75" thickBot="1" x14ac:dyDescent="0.3">
      <c r="A27" s="23"/>
      <c r="F27" s="21" t="s">
        <v>45</v>
      </c>
      <c r="G27" s="28">
        <f>SUM(G26)</f>
        <v>7452.166666666667</v>
      </c>
    </row>
    <row r="28" spans="1:10" ht="15.75" thickBot="1" x14ac:dyDescent="0.3">
      <c r="A28" s="213" t="s">
        <v>55</v>
      </c>
      <c r="B28" s="214"/>
      <c r="G28" s="18"/>
    </row>
    <row r="29" spans="1:10" ht="15.75" thickBot="1" x14ac:dyDescent="0.3">
      <c r="A29" s="215" t="s">
        <v>56</v>
      </c>
      <c r="B29" s="216"/>
      <c r="C29" s="30" t="s">
        <v>38</v>
      </c>
      <c r="D29" s="13" t="s">
        <v>39</v>
      </c>
      <c r="E29" s="31"/>
      <c r="F29" s="13" t="s">
        <v>205</v>
      </c>
      <c r="G29" s="14" t="s">
        <v>44</v>
      </c>
    </row>
    <row r="30" spans="1:10" x14ac:dyDescent="0.25">
      <c r="A30" s="219" t="s">
        <v>241</v>
      </c>
      <c r="B30" s="220"/>
      <c r="C30" s="21" t="s">
        <v>38</v>
      </c>
      <c r="D30" s="21">
        <v>1</v>
      </c>
      <c r="E30" s="21"/>
      <c r="F30" s="92">
        <v>1500</v>
      </c>
      <c r="G30" s="90">
        <f>+F30*D30</f>
        <v>1500</v>
      </c>
    </row>
    <row r="31" spans="1:10" ht="43.5" customHeight="1" x14ac:dyDescent="0.25">
      <c r="A31" s="221"/>
      <c r="B31" s="222"/>
      <c r="C31" s="222"/>
      <c r="D31" s="222"/>
      <c r="E31" s="223"/>
      <c r="F31" s="21" t="s">
        <v>45</v>
      </c>
      <c r="G31" s="95">
        <f>SUM(G30:G30)</f>
        <v>1500</v>
      </c>
    </row>
    <row r="32" spans="1:10" x14ac:dyDescent="0.25">
      <c r="A32" s="224"/>
      <c r="B32" s="225"/>
      <c r="C32" s="225"/>
      <c r="D32" s="225"/>
      <c r="E32" s="225"/>
      <c r="F32" s="225"/>
      <c r="G32" s="226"/>
    </row>
    <row r="33" spans="1:8" ht="15.75" thickBot="1" x14ac:dyDescent="0.3">
      <c r="A33" s="227"/>
      <c r="B33" s="228"/>
      <c r="C33" s="228"/>
      <c r="D33" s="228"/>
      <c r="E33" s="228"/>
      <c r="F33" s="228"/>
      <c r="G33" s="229"/>
    </row>
    <row r="34" spans="1:8" ht="15.75" thickBot="1" x14ac:dyDescent="0.3">
      <c r="A34" s="210" t="s">
        <v>59</v>
      </c>
      <c r="B34" s="211"/>
      <c r="C34" s="211"/>
      <c r="D34" s="211"/>
      <c r="E34" s="211"/>
      <c r="F34" s="212"/>
      <c r="G34" s="47">
        <f>+G31+G27+G23+G13</f>
        <v>27818</v>
      </c>
      <c r="H34" s="11">
        <f>+TABACAL!E31</f>
        <v>27818</v>
      </c>
    </row>
  </sheetData>
  <mergeCells count="26">
    <mergeCell ref="A20:C20"/>
    <mergeCell ref="B6:E6"/>
    <mergeCell ref="B7:E7"/>
    <mergeCell ref="A8:G8"/>
    <mergeCell ref="A11:D11"/>
    <mergeCell ref="A12:D12"/>
    <mergeCell ref="A14:B14"/>
    <mergeCell ref="C14:G14"/>
    <mergeCell ref="A15:C15"/>
    <mergeCell ref="A16:C16"/>
    <mergeCell ref="A17:C17"/>
    <mergeCell ref="A18:C18"/>
    <mergeCell ref="A19:C19"/>
    <mergeCell ref="A21:C21"/>
    <mergeCell ref="A22:C22"/>
    <mergeCell ref="A23:C23"/>
    <mergeCell ref="A24:B24"/>
    <mergeCell ref="C24:G24"/>
    <mergeCell ref="A31:E31"/>
    <mergeCell ref="A32:G33"/>
    <mergeCell ref="A34:F34"/>
    <mergeCell ref="A25:B25"/>
    <mergeCell ref="A26:B26"/>
    <mergeCell ref="A28:B28"/>
    <mergeCell ref="A29:B29"/>
    <mergeCell ref="A30:B30"/>
  </mergeCell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5"/>
  <sheetViews>
    <sheetView topLeftCell="A31" workbookViewId="0">
      <selection activeCell="G41" sqref="G41"/>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89.25" customHeight="1" x14ac:dyDescent="0.25">
      <c r="A7" s="15">
        <v>7.3</v>
      </c>
      <c r="B7" s="235" t="str">
        <f>+TABACAL!B32</f>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pagarán en su ítem respectivo</v>
      </c>
      <c r="C7" s="235"/>
      <c r="D7" s="235"/>
      <c r="E7" s="235"/>
      <c r="F7" s="16" t="s">
        <v>19</v>
      </c>
      <c r="G7" s="53">
        <f>+TABACAL!D31</f>
        <v>20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0.05*G27</f>
        <v>2235.65</v>
      </c>
    </row>
    <row r="13" spans="1:7" ht="15.75" thickBot="1" x14ac:dyDescent="0.3">
      <c r="A13" s="23"/>
      <c r="F13" s="21" t="s">
        <v>45</v>
      </c>
      <c r="G13" s="22">
        <f>SUM(G12:G12)</f>
        <v>2235.65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3.75" customHeight="1" x14ac:dyDescent="0.25">
      <c r="A16" s="260" t="s">
        <v>257</v>
      </c>
      <c r="B16" s="261"/>
      <c r="C16" s="262"/>
      <c r="D16" s="85" t="s">
        <v>9</v>
      </c>
      <c r="E16" s="85">
        <v>1</v>
      </c>
      <c r="F16" s="96">
        <v>33500</v>
      </c>
      <c r="G16" s="83">
        <f>+F16*E16</f>
        <v>33500</v>
      </c>
    </row>
    <row r="17" spans="1:10" x14ac:dyDescent="0.25">
      <c r="A17" s="259" t="s">
        <v>258</v>
      </c>
      <c r="B17" s="241"/>
      <c r="C17" s="242"/>
      <c r="D17" s="85" t="s">
        <v>47</v>
      </c>
      <c r="E17" s="85">
        <v>1</v>
      </c>
      <c r="F17" s="86">
        <v>2800</v>
      </c>
      <c r="G17" s="83">
        <f t="shared" ref="G17:G22" si="0">+F17*E17</f>
        <v>2800</v>
      </c>
    </row>
    <row r="18" spans="1:10" x14ac:dyDescent="0.25">
      <c r="A18" s="259" t="s">
        <v>259</v>
      </c>
      <c r="B18" s="241"/>
      <c r="C18" s="242"/>
      <c r="D18" s="85" t="s">
        <v>47</v>
      </c>
      <c r="E18" s="85">
        <v>0.5</v>
      </c>
      <c r="F18" s="86">
        <v>19500</v>
      </c>
      <c r="G18" s="83">
        <f t="shared" si="0"/>
        <v>9750</v>
      </c>
    </row>
    <row r="19" spans="1:10" x14ac:dyDescent="0.25">
      <c r="A19" s="259" t="s">
        <v>260</v>
      </c>
      <c r="B19" s="241"/>
      <c r="C19" s="242"/>
      <c r="D19" s="85" t="s">
        <v>47</v>
      </c>
      <c r="E19" s="85">
        <v>0.5</v>
      </c>
      <c r="F19" s="86">
        <v>22000</v>
      </c>
      <c r="G19" s="83">
        <f t="shared" si="0"/>
        <v>11000</v>
      </c>
    </row>
    <row r="20" spans="1:10" x14ac:dyDescent="0.25">
      <c r="A20" s="259" t="s">
        <v>262</v>
      </c>
      <c r="B20" s="241"/>
      <c r="C20" s="242"/>
      <c r="D20" s="85" t="s">
        <v>47</v>
      </c>
      <c r="E20" s="85">
        <v>0.5</v>
      </c>
      <c r="F20" s="86">
        <v>26000</v>
      </c>
      <c r="G20" s="83">
        <f t="shared" si="0"/>
        <v>13000</v>
      </c>
    </row>
    <row r="21" spans="1:10" x14ac:dyDescent="0.25">
      <c r="A21" s="259" t="s">
        <v>249</v>
      </c>
      <c r="B21" s="241"/>
      <c r="C21" s="242"/>
      <c r="D21" s="52" t="s">
        <v>47</v>
      </c>
      <c r="E21" s="52">
        <v>0.1</v>
      </c>
      <c r="F21" s="91">
        <v>98500</v>
      </c>
      <c r="G21" s="83">
        <f t="shared" si="0"/>
        <v>9850</v>
      </c>
    </row>
    <row r="22" spans="1:10" x14ac:dyDescent="0.25">
      <c r="A22" s="220" t="s">
        <v>250</v>
      </c>
      <c r="B22" s="220"/>
      <c r="C22" s="220"/>
      <c r="D22" s="52" t="s">
        <v>47</v>
      </c>
      <c r="E22" s="52">
        <v>0.1</v>
      </c>
      <c r="F22" s="91">
        <v>65000</v>
      </c>
      <c r="G22" s="83">
        <f t="shared" si="0"/>
        <v>6500</v>
      </c>
    </row>
    <row r="23" spans="1:10" x14ac:dyDescent="0.25">
      <c r="A23" s="220"/>
      <c r="B23" s="220"/>
      <c r="C23" s="220"/>
      <c r="D23" s="21"/>
      <c r="E23" s="21"/>
      <c r="F23" s="21" t="s">
        <v>45</v>
      </c>
      <c r="G23" s="46">
        <f>SUM(G16:G22)</f>
        <v>86400</v>
      </c>
    </row>
    <row r="24" spans="1:10" ht="12.75" customHeight="1" thickBot="1" x14ac:dyDescent="0.3">
      <c r="A24" s="252" t="s">
        <v>49</v>
      </c>
      <c r="B24" s="253"/>
      <c r="C24" s="233"/>
      <c r="D24" s="233"/>
      <c r="E24" s="233"/>
      <c r="F24" s="233"/>
      <c r="G24" s="234"/>
      <c r="J24" s="76"/>
    </row>
    <row r="25" spans="1:10" ht="15.75" thickBot="1" x14ac:dyDescent="0.3">
      <c r="A25" s="215" t="s">
        <v>50</v>
      </c>
      <c r="B25" s="216"/>
      <c r="C25" s="13" t="s">
        <v>51</v>
      </c>
      <c r="D25" s="13" t="s">
        <v>52</v>
      </c>
      <c r="E25" s="13" t="s">
        <v>53</v>
      </c>
      <c r="F25" s="13" t="s">
        <v>54</v>
      </c>
      <c r="G25" s="14" t="s">
        <v>44</v>
      </c>
    </row>
    <row r="26" spans="1:10" x14ac:dyDescent="0.25">
      <c r="A26" s="230" t="str">
        <f>+'insumos-MO'!B43</f>
        <v>Cuadrilla de construcción 1*1</v>
      </c>
      <c r="B26" s="218"/>
      <c r="C26" s="29">
        <f>+'insumos-MO'!E43</f>
        <v>223565</v>
      </c>
      <c r="D26" s="24"/>
      <c r="E26" s="29">
        <f>+C26</f>
        <v>223565</v>
      </c>
      <c r="F26" s="25">
        <v>5</v>
      </c>
      <c r="G26" s="27">
        <f>+E26/F26</f>
        <v>44713</v>
      </c>
    </row>
    <row r="27" spans="1:10" ht="15.75" thickBot="1" x14ac:dyDescent="0.3">
      <c r="A27" s="23"/>
      <c r="F27" s="21" t="s">
        <v>45</v>
      </c>
      <c r="G27" s="28">
        <f>SUM(G26)</f>
        <v>44713</v>
      </c>
    </row>
    <row r="28" spans="1:10" ht="15.75" thickBot="1" x14ac:dyDescent="0.3">
      <c r="A28" s="213" t="s">
        <v>55</v>
      </c>
      <c r="B28" s="214"/>
      <c r="G28" s="18"/>
    </row>
    <row r="29" spans="1:10" ht="15.75" thickBot="1" x14ac:dyDescent="0.3">
      <c r="A29" s="215" t="s">
        <v>56</v>
      </c>
      <c r="B29" s="216"/>
      <c r="C29" s="30" t="s">
        <v>38</v>
      </c>
      <c r="D29" s="13" t="s">
        <v>39</v>
      </c>
      <c r="E29" s="31"/>
      <c r="F29" s="13" t="s">
        <v>205</v>
      </c>
      <c r="G29" s="14" t="s">
        <v>44</v>
      </c>
    </row>
    <row r="30" spans="1:10" x14ac:dyDescent="0.25">
      <c r="A30" s="219" t="s">
        <v>261</v>
      </c>
      <c r="B30" s="220"/>
      <c r="C30" s="93" t="s">
        <v>38</v>
      </c>
      <c r="D30" s="78">
        <v>1</v>
      </c>
      <c r="E30" s="94"/>
      <c r="F30" s="92">
        <v>9339.3500000000058</v>
      </c>
      <c r="G30" s="90">
        <f>+F30*D30</f>
        <v>9339.3500000000058</v>
      </c>
    </row>
    <row r="31" spans="1:10" x14ac:dyDescent="0.25">
      <c r="A31" s="219" t="s">
        <v>241</v>
      </c>
      <c r="B31" s="220"/>
      <c r="C31" s="21" t="s">
        <v>38</v>
      </c>
      <c r="D31" s="21">
        <v>1</v>
      </c>
      <c r="E31" s="21"/>
      <c r="F31" s="92">
        <v>1500</v>
      </c>
      <c r="G31" s="90">
        <f>+F31*D31</f>
        <v>1500</v>
      </c>
    </row>
    <row r="32" spans="1:10" ht="43.5" customHeight="1" x14ac:dyDescent="0.25">
      <c r="A32" s="221"/>
      <c r="B32" s="222"/>
      <c r="C32" s="222"/>
      <c r="D32" s="222"/>
      <c r="E32" s="223"/>
      <c r="F32" s="21" t="s">
        <v>45</v>
      </c>
      <c r="G32" s="95">
        <f>SUM(G30:G31)</f>
        <v>10839.350000000006</v>
      </c>
    </row>
    <row r="33" spans="1:8" x14ac:dyDescent="0.25">
      <c r="A33" s="224"/>
      <c r="B33" s="225"/>
      <c r="C33" s="225"/>
      <c r="D33" s="225"/>
      <c r="E33" s="225"/>
      <c r="F33" s="225"/>
      <c r="G33" s="226"/>
    </row>
    <row r="34" spans="1:8" ht="15.75" thickBot="1" x14ac:dyDescent="0.3">
      <c r="A34" s="227"/>
      <c r="B34" s="228"/>
      <c r="C34" s="228"/>
      <c r="D34" s="228"/>
      <c r="E34" s="228"/>
      <c r="F34" s="228"/>
      <c r="G34" s="229"/>
    </row>
    <row r="35" spans="1:8" ht="15.75" thickBot="1" x14ac:dyDescent="0.3">
      <c r="A35" s="210" t="s">
        <v>59</v>
      </c>
      <c r="B35" s="211"/>
      <c r="C35" s="211"/>
      <c r="D35" s="211"/>
      <c r="E35" s="211"/>
      <c r="F35" s="212"/>
      <c r="G35" s="47">
        <f>+G32+G27+G23+G13</f>
        <v>144188</v>
      </c>
      <c r="H35" s="11">
        <f>+TABACAL!E32</f>
        <v>144188</v>
      </c>
    </row>
  </sheetData>
  <mergeCells count="27">
    <mergeCell ref="A14:B14"/>
    <mergeCell ref="C14:G14"/>
    <mergeCell ref="B6:E6"/>
    <mergeCell ref="B7:E7"/>
    <mergeCell ref="A8:G8"/>
    <mergeCell ref="A11:D11"/>
    <mergeCell ref="A12:D12"/>
    <mergeCell ref="A15:C15"/>
    <mergeCell ref="A16:C16"/>
    <mergeCell ref="A17:C17"/>
    <mergeCell ref="A18:C18"/>
    <mergeCell ref="A19:C19"/>
    <mergeCell ref="A35:F35"/>
    <mergeCell ref="A30:B30"/>
    <mergeCell ref="A20:C20"/>
    <mergeCell ref="A26:B26"/>
    <mergeCell ref="A28:B28"/>
    <mergeCell ref="A29:B29"/>
    <mergeCell ref="A31:B31"/>
    <mergeCell ref="A32:E32"/>
    <mergeCell ref="A33:G34"/>
    <mergeCell ref="A21:C21"/>
    <mergeCell ref="A22:C22"/>
    <mergeCell ref="A23:C23"/>
    <mergeCell ref="A24:B24"/>
    <mergeCell ref="C24:G24"/>
    <mergeCell ref="A25:B25"/>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0"/>
  <sheetViews>
    <sheetView topLeftCell="A25" workbookViewId="0">
      <selection activeCell="F37" sqref="F37"/>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89.25" customHeight="1" x14ac:dyDescent="0.25">
      <c r="A7" s="15">
        <v>7.4</v>
      </c>
      <c r="B7" s="235" t="str">
        <f>+TABACAL!B33</f>
        <v>Suministro, transporte e instalación de TUBERÍA PVC-S, EN BAJANTES con un DIÁMETRO DE 4", aguas LLÚVIAS. Incluye suministro y transporte de los materiales, bocas, accesorios, pegante, limpiador, wash primer, acabado en esmalte mate, color a definir por parte de interventoría, andamios, abrazaderas y todos los elementos necesarios para su correcta instalación y funcionamiento.</v>
      </c>
      <c r="C7" s="235"/>
      <c r="D7" s="235"/>
      <c r="E7" s="235"/>
      <c r="F7" s="16" t="str">
        <f>+TABACAL!C33</f>
        <v>ml</v>
      </c>
      <c r="G7" s="53">
        <f>+TABACAL!D33</f>
        <v>36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0.05*G23</f>
        <v>558.91250000000002</v>
      </c>
    </row>
    <row r="13" spans="1:7" ht="15.75" thickBot="1" x14ac:dyDescent="0.3">
      <c r="A13" s="23"/>
      <c r="F13" s="21" t="s">
        <v>45</v>
      </c>
      <c r="G13" s="22">
        <f>SUM(G12:G12)</f>
        <v>558.91250000000002</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24.75" customHeight="1" x14ac:dyDescent="0.25">
      <c r="A16" s="260" t="s">
        <v>257</v>
      </c>
      <c r="B16" s="261"/>
      <c r="C16" s="262"/>
      <c r="D16" s="85" t="s">
        <v>9</v>
      </c>
      <c r="E16" s="85">
        <v>1</v>
      </c>
      <c r="F16" s="91">
        <v>33500</v>
      </c>
      <c r="G16" s="83">
        <f>+F16*E16</f>
        <v>33500</v>
      </c>
    </row>
    <row r="17" spans="1:10" x14ac:dyDescent="0.25">
      <c r="A17" s="259" t="s">
        <v>249</v>
      </c>
      <c r="B17" s="241"/>
      <c r="C17" s="242"/>
      <c r="D17" s="52" t="s">
        <v>47</v>
      </c>
      <c r="E17" s="52">
        <v>0.05</v>
      </c>
      <c r="F17" s="91">
        <v>98500</v>
      </c>
      <c r="G17" s="83">
        <f t="shared" ref="G17:G18" si="0">+F17*E17</f>
        <v>4925</v>
      </c>
    </row>
    <row r="18" spans="1:10" x14ac:dyDescent="0.25">
      <c r="A18" s="220" t="s">
        <v>250</v>
      </c>
      <c r="B18" s="220"/>
      <c r="C18" s="220"/>
      <c r="D18" s="52" t="s">
        <v>47</v>
      </c>
      <c r="E18" s="52">
        <v>0.05</v>
      </c>
      <c r="F18" s="91">
        <v>65000</v>
      </c>
      <c r="G18" s="83">
        <f t="shared" si="0"/>
        <v>3250</v>
      </c>
    </row>
    <row r="19" spans="1:10" x14ac:dyDescent="0.25">
      <c r="A19" s="220"/>
      <c r="B19" s="220"/>
      <c r="C19" s="220"/>
      <c r="D19" s="21"/>
      <c r="E19" s="21"/>
      <c r="F19" s="21" t="s">
        <v>45</v>
      </c>
      <c r="G19" s="46">
        <f>SUM(G16:G18)</f>
        <v>41675</v>
      </c>
    </row>
    <row r="20" spans="1:10" ht="12.75" customHeight="1" thickBot="1" x14ac:dyDescent="0.3">
      <c r="A20" s="252" t="s">
        <v>49</v>
      </c>
      <c r="B20" s="253"/>
      <c r="C20" s="233"/>
      <c r="D20" s="233"/>
      <c r="E20" s="233"/>
      <c r="F20" s="233"/>
      <c r="G20" s="234"/>
      <c r="J20" s="76"/>
    </row>
    <row r="21" spans="1:10" ht="15.75" thickBot="1" x14ac:dyDescent="0.3">
      <c r="A21" s="215" t="s">
        <v>50</v>
      </c>
      <c r="B21" s="216"/>
      <c r="C21" s="13" t="s">
        <v>51</v>
      </c>
      <c r="D21" s="13" t="s">
        <v>52</v>
      </c>
      <c r="E21" s="13" t="s">
        <v>53</v>
      </c>
      <c r="F21" s="13" t="s">
        <v>54</v>
      </c>
      <c r="G21" s="14" t="s">
        <v>44</v>
      </c>
    </row>
    <row r="22" spans="1:10" x14ac:dyDescent="0.25">
      <c r="A22" s="230" t="str">
        <f>+'insumos-MO'!B43</f>
        <v>Cuadrilla de construcción 1*1</v>
      </c>
      <c r="B22" s="218"/>
      <c r="C22" s="29">
        <f>+'insumos-MO'!E43</f>
        <v>223565</v>
      </c>
      <c r="D22" s="24"/>
      <c r="E22" s="29">
        <f>+C22</f>
        <v>223565</v>
      </c>
      <c r="F22" s="25">
        <v>20</v>
      </c>
      <c r="G22" s="27">
        <f>+E22/F22</f>
        <v>11178.25</v>
      </c>
    </row>
    <row r="23" spans="1:10" ht="15.75" thickBot="1" x14ac:dyDescent="0.3">
      <c r="A23" s="23"/>
      <c r="F23" s="21" t="s">
        <v>45</v>
      </c>
      <c r="G23" s="28">
        <f>SUM(G22)</f>
        <v>11178.25</v>
      </c>
    </row>
    <row r="24" spans="1:10" ht="15.75" thickBot="1" x14ac:dyDescent="0.3">
      <c r="A24" s="213" t="s">
        <v>55</v>
      </c>
      <c r="B24" s="214"/>
      <c r="G24" s="18"/>
    </row>
    <row r="25" spans="1:10" ht="15.75" thickBot="1" x14ac:dyDescent="0.3">
      <c r="A25" s="215" t="s">
        <v>56</v>
      </c>
      <c r="B25" s="216"/>
      <c r="C25" s="30" t="s">
        <v>38</v>
      </c>
      <c r="D25" s="13" t="s">
        <v>39</v>
      </c>
      <c r="E25" s="31"/>
      <c r="F25" s="13" t="s">
        <v>205</v>
      </c>
      <c r="G25" s="14" t="s">
        <v>44</v>
      </c>
    </row>
    <row r="26" spans="1:10" x14ac:dyDescent="0.25">
      <c r="A26" s="219" t="s">
        <v>241</v>
      </c>
      <c r="B26" s="220"/>
      <c r="C26" s="21" t="s">
        <v>38</v>
      </c>
      <c r="D26" s="21">
        <v>1</v>
      </c>
      <c r="E26" s="21"/>
      <c r="F26" s="92">
        <v>885.83750000000146</v>
      </c>
      <c r="G26" s="90">
        <f>+F26*D26</f>
        <v>885.83750000000146</v>
      </c>
    </row>
    <row r="27" spans="1:10" ht="43.5" customHeight="1" x14ac:dyDescent="0.25">
      <c r="A27" s="221"/>
      <c r="B27" s="222"/>
      <c r="C27" s="222"/>
      <c r="D27" s="222"/>
      <c r="E27" s="223"/>
      <c r="F27" s="21" t="s">
        <v>45</v>
      </c>
      <c r="G27" s="95">
        <f>SUM(G26:G26)</f>
        <v>885.83750000000146</v>
      </c>
    </row>
    <row r="28" spans="1:10" x14ac:dyDescent="0.25">
      <c r="A28" s="224"/>
      <c r="B28" s="225"/>
      <c r="C28" s="225"/>
      <c r="D28" s="225"/>
      <c r="E28" s="225"/>
      <c r="F28" s="225"/>
      <c r="G28" s="226"/>
    </row>
    <row r="29" spans="1:10" ht="15.75" thickBot="1" x14ac:dyDescent="0.3">
      <c r="A29" s="227"/>
      <c r="B29" s="228"/>
      <c r="C29" s="228"/>
      <c r="D29" s="228"/>
      <c r="E29" s="228"/>
      <c r="F29" s="228"/>
      <c r="G29" s="229"/>
    </row>
    <row r="30" spans="1:10" ht="15.75" thickBot="1" x14ac:dyDescent="0.3">
      <c r="A30" s="210" t="s">
        <v>59</v>
      </c>
      <c r="B30" s="211"/>
      <c r="C30" s="211"/>
      <c r="D30" s="211"/>
      <c r="E30" s="211"/>
      <c r="F30" s="212"/>
      <c r="G30" s="47">
        <f>+G27+G23+G19+G13</f>
        <v>54298</v>
      </c>
      <c r="H30" s="11">
        <f>+TABACAL!E33</f>
        <v>54298</v>
      </c>
    </row>
  </sheetData>
  <mergeCells count="22">
    <mergeCell ref="A21:B21"/>
    <mergeCell ref="A15:C15"/>
    <mergeCell ref="A16:C16"/>
    <mergeCell ref="B6:E6"/>
    <mergeCell ref="B7:E7"/>
    <mergeCell ref="A8:G8"/>
    <mergeCell ref="A11:D11"/>
    <mergeCell ref="A12:D12"/>
    <mergeCell ref="A14:B14"/>
    <mergeCell ref="C14:G14"/>
    <mergeCell ref="A17:C17"/>
    <mergeCell ref="A18:C18"/>
    <mergeCell ref="A19:C19"/>
    <mergeCell ref="A20:B20"/>
    <mergeCell ref="C20:G20"/>
    <mergeCell ref="A28:G29"/>
    <mergeCell ref="A30:F30"/>
    <mergeCell ref="A22:B22"/>
    <mergeCell ref="A24:B24"/>
    <mergeCell ref="A25:B25"/>
    <mergeCell ref="A26:B26"/>
    <mergeCell ref="A27:E27"/>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G38" sqref="G38"/>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52.5" customHeight="1" x14ac:dyDescent="0.25">
      <c r="A7" s="15" t="s">
        <v>160</v>
      </c>
      <c r="B7" s="235" t="str">
        <f>+TABACAL!B36</f>
        <v>Suministro, transporte e instalación de tubería metálica EMT diámetro 1/2". Incluye adaptadores, uniones, curvas, grapas doble ala y demás accesorios necesarios para su correcta instalación.</v>
      </c>
      <c r="C7" s="235"/>
      <c r="D7" s="235"/>
      <c r="E7" s="235"/>
      <c r="F7" s="16" t="str">
        <f>+TABACAL!C33</f>
        <v>ml</v>
      </c>
      <c r="G7" s="53">
        <f>+TABACAL!D36</f>
        <v>128</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798.44642857142856</v>
      </c>
    </row>
    <row r="13" spans="1:7" ht="15.75" thickBot="1" x14ac:dyDescent="0.3">
      <c r="A13" s="23"/>
      <c r="F13" s="21" t="s">
        <v>45</v>
      </c>
      <c r="G13" s="22">
        <f>SUM(G12:G12)</f>
        <v>798.44642857142856</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24.75" customHeight="1" x14ac:dyDescent="0.25">
      <c r="A16" s="260" t="s">
        <v>263</v>
      </c>
      <c r="B16" s="261"/>
      <c r="C16" s="262"/>
      <c r="D16" s="85" t="s">
        <v>9</v>
      </c>
      <c r="E16" s="85">
        <v>1</v>
      </c>
      <c r="F16" s="91">
        <v>7907.625</v>
      </c>
      <c r="G16" s="83">
        <f>+F16*E16</f>
        <v>7907.625</v>
      </c>
    </row>
    <row r="17" spans="1:10" x14ac:dyDescent="0.25">
      <c r="A17" s="259" t="s">
        <v>264</v>
      </c>
      <c r="B17" s="241"/>
      <c r="C17" s="242"/>
      <c r="D17" s="52" t="s">
        <v>47</v>
      </c>
      <c r="E17" s="52">
        <v>0.5</v>
      </c>
      <c r="F17" s="91">
        <v>9800</v>
      </c>
      <c r="G17" s="83">
        <f t="shared" ref="G17:G20" si="0">+F17*E17</f>
        <v>4900</v>
      </c>
    </row>
    <row r="18" spans="1:10" x14ac:dyDescent="0.25">
      <c r="A18" s="220" t="s">
        <v>265</v>
      </c>
      <c r="B18" s="220"/>
      <c r="C18" s="220"/>
      <c r="D18" s="52" t="s">
        <v>47</v>
      </c>
      <c r="E18" s="52">
        <v>1</v>
      </c>
      <c r="F18" s="91">
        <v>1900</v>
      </c>
      <c r="G18" s="83">
        <f t="shared" si="0"/>
        <v>1900</v>
      </c>
    </row>
    <row r="19" spans="1:10" x14ac:dyDescent="0.25">
      <c r="A19" s="220" t="s">
        <v>266</v>
      </c>
      <c r="B19" s="220"/>
      <c r="C19" s="220"/>
      <c r="D19" s="52" t="s">
        <v>47</v>
      </c>
      <c r="E19" s="52">
        <v>0.5</v>
      </c>
      <c r="F19" s="91">
        <v>1850</v>
      </c>
      <c r="G19" s="83">
        <f t="shared" si="0"/>
        <v>925</v>
      </c>
    </row>
    <row r="20" spans="1:10" x14ac:dyDescent="0.25">
      <c r="A20" s="220" t="s">
        <v>267</v>
      </c>
      <c r="B20" s="220"/>
      <c r="C20" s="220"/>
      <c r="D20" s="52" t="s">
        <v>47</v>
      </c>
      <c r="E20" s="52">
        <v>1</v>
      </c>
      <c r="F20" s="91">
        <v>2100</v>
      </c>
      <c r="G20" s="83">
        <f t="shared" si="0"/>
        <v>2100</v>
      </c>
    </row>
    <row r="21" spans="1:10" x14ac:dyDescent="0.25">
      <c r="A21" s="220"/>
      <c r="B21" s="220"/>
      <c r="C21" s="220"/>
      <c r="D21" s="21"/>
      <c r="E21" s="21"/>
      <c r="F21" s="21" t="s">
        <v>45</v>
      </c>
      <c r="G21" s="46">
        <f>SUM(G16:G20)</f>
        <v>17732.625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14</v>
      </c>
      <c r="G24" s="27">
        <f>+E24/F24</f>
        <v>15968.928571428571</v>
      </c>
    </row>
    <row r="25" spans="1:10" ht="15.75" thickBot="1" x14ac:dyDescent="0.3">
      <c r="A25" s="23"/>
      <c r="F25" s="21" t="s">
        <v>45</v>
      </c>
      <c r="G25" s="28">
        <f>SUM(G24)</f>
        <v>15968.928571428571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1500</v>
      </c>
      <c r="G28" s="90">
        <f>+F28*D28</f>
        <v>1500</v>
      </c>
    </row>
    <row r="29" spans="1:10" ht="43.5" customHeight="1" x14ac:dyDescent="0.25">
      <c r="A29" s="221"/>
      <c r="B29" s="222"/>
      <c r="C29" s="222"/>
      <c r="D29" s="222"/>
      <c r="E29" s="223"/>
      <c r="F29" s="21" t="s">
        <v>45</v>
      </c>
      <c r="G29" s="95">
        <f>SUM(G28:G28)</f>
        <v>1500</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36000</v>
      </c>
      <c r="H32" s="11">
        <f>+TABACAL!E36</f>
        <v>36000</v>
      </c>
    </row>
  </sheetData>
  <mergeCells count="24">
    <mergeCell ref="A14:B14"/>
    <mergeCell ref="C14:G14"/>
    <mergeCell ref="B6:E6"/>
    <mergeCell ref="B7:E7"/>
    <mergeCell ref="A8:G8"/>
    <mergeCell ref="A11:D11"/>
    <mergeCell ref="A12:D12"/>
    <mergeCell ref="A15:C15"/>
    <mergeCell ref="A16:C16"/>
    <mergeCell ref="A17:C17"/>
    <mergeCell ref="A18:C18"/>
    <mergeCell ref="A21:C21"/>
    <mergeCell ref="A30:G31"/>
    <mergeCell ref="A32:F32"/>
    <mergeCell ref="A19:C19"/>
    <mergeCell ref="A20:C20"/>
    <mergeCell ref="A23:B23"/>
    <mergeCell ref="A24:B24"/>
    <mergeCell ref="A26:B26"/>
    <mergeCell ref="A27:B27"/>
    <mergeCell ref="A28:B28"/>
    <mergeCell ref="A29:E29"/>
    <mergeCell ref="A22:B22"/>
    <mergeCell ref="C22:G22"/>
  </mergeCell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E38" sqref="E38"/>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52.5" customHeight="1" x14ac:dyDescent="0.25">
      <c r="A7" s="15" t="s">
        <v>163</v>
      </c>
      <c r="B7" s="235" t="str">
        <f>+TABACAL!B37</f>
        <v>Suministro, transporte e instalación de tubería metálica EMT diámetro 1". Incluye adaptadores, uniones, curvas, grapas doble ala y demás accesorios necesarios para su correcta instalación.</v>
      </c>
      <c r="C7" s="235"/>
      <c r="D7" s="235"/>
      <c r="E7" s="235"/>
      <c r="F7" s="16" t="str">
        <f>+TABACAL!C33</f>
        <v>ml</v>
      </c>
      <c r="G7" s="53">
        <f>+TABACAL!D37</f>
        <v>40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798.44642857142856</v>
      </c>
    </row>
    <row r="13" spans="1:7" ht="15.75" thickBot="1" x14ac:dyDescent="0.3">
      <c r="A13" s="23"/>
      <c r="F13" s="21" t="s">
        <v>45</v>
      </c>
      <c r="G13" s="22">
        <f>SUM(G12:G12)</f>
        <v>798.44642857142856</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24.75" customHeight="1" x14ac:dyDescent="0.25">
      <c r="A16" s="260" t="s">
        <v>275</v>
      </c>
      <c r="B16" s="261"/>
      <c r="C16" s="262"/>
      <c r="D16" s="85" t="s">
        <v>9</v>
      </c>
      <c r="E16" s="85">
        <v>1</v>
      </c>
      <c r="F16" s="91">
        <v>18632.625</v>
      </c>
      <c r="G16" s="83">
        <f>+F16*E16</f>
        <v>18632.625</v>
      </c>
    </row>
    <row r="17" spans="1:10" x14ac:dyDescent="0.25">
      <c r="A17" s="259" t="s">
        <v>276</v>
      </c>
      <c r="B17" s="241"/>
      <c r="C17" s="242"/>
      <c r="D17" s="52" t="s">
        <v>47</v>
      </c>
      <c r="E17" s="52">
        <v>0.5</v>
      </c>
      <c r="F17" s="91">
        <v>3200</v>
      </c>
      <c r="G17" s="83">
        <f t="shared" ref="G17:G20" si="0">+F17*E17</f>
        <v>1600</v>
      </c>
    </row>
    <row r="18" spans="1:10" x14ac:dyDescent="0.25">
      <c r="A18" s="220" t="s">
        <v>277</v>
      </c>
      <c r="B18" s="220"/>
      <c r="C18" s="220"/>
      <c r="D18" s="52" t="s">
        <v>47</v>
      </c>
      <c r="E18" s="52">
        <v>1</v>
      </c>
      <c r="F18" s="91">
        <v>2100</v>
      </c>
      <c r="G18" s="83">
        <f t="shared" si="0"/>
        <v>2100</v>
      </c>
    </row>
    <row r="19" spans="1:10" x14ac:dyDescent="0.25">
      <c r="A19" s="220" t="s">
        <v>278</v>
      </c>
      <c r="B19" s="220"/>
      <c r="C19" s="220"/>
      <c r="D19" s="52" t="s">
        <v>47</v>
      </c>
      <c r="E19" s="52">
        <v>0.5</v>
      </c>
      <c r="F19" s="91">
        <v>2200</v>
      </c>
      <c r="G19" s="83">
        <f t="shared" si="0"/>
        <v>1100</v>
      </c>
    </row>
    <row r="20" spans="1:10" x14ac:dyDescent="0.25">
      <c r="A20" s="220" t="s">
        <v>279</v>
      </c>
      <c r="B20" s="220"/>
      <c r="C20" s="220"/>
      <c r="D20" s="52" t="s">
        <v>47</v>
      </c>
      <c r="E20" s="52">
        <v>1</v>
      </c>
      <c r="F20" s="91">
        <v>2300</v>
      </c>
      <c r="G20" s="83">
        <f t="shared" si="0"/>
        <v>2300</v>
      </c>
    </row>
    <row r="21" spans="1:10" x14ac:dyDescent="0.25">
      <c r="A21" s="220"/>
      <c r="B21" s="220"/>
      <c r="C21" s="220"/>
      <c r="D21" s="21"/>
      <c r="E21" s="21"/>
      <c r="F21" s="21" t="s">
        <v>45</v>
      </c>
      <c r="G21" s="46">
        <f>SUM(G16:G20)</f>
        <v>25732.625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14</v>
      </c>
      <c r="G24" s="27">
        <f>+E24/F24</f>
        <v>15968.928571428571</v>
      </c>
    </row>
    <row r="25" spans="1:10" ht="15.75" thickBot="1" x14ac:dyDescent="0.3">
      <c r="A25" s="23"/>
      <c r="F25" s="21" t="s">
        <v>45</v>
      </c>
      <c r="G25" s="28">
        <f>SUM(G24)</f>
        <v>15968.928571428571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1500</v>
      </c>
      <c r="G28" s="90">
        <f>+F28*D28</f>
        <v>1500</v>
      </c>
    </row>
    <row r="29" spans="1:10" ht="43.5" customHeight="1" x14ac:dyDescent="0.25">
      <c r="A29" s="221"/>
      <c r="B29" s="222"/>
      <c r="C29" s="222"/>
      <c r="D29" s="222"/>
      <c r="E29" s="223"/>
      <c r="F29" s="21" t="s">
        <v>45</v>
      </c>
      <c r="G29" s="95">
        <f>SUM(G28:G28)</f>
        <v>1500</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44000</v>
      </c>
      <c r="H32" s="11">
        <f>+TABACAL!E37</f>
        <v>44000</v>
      </c>
    </row>
  </sheetData>
  <mergeCells count="24">
    <mergeCell ref="A14:B14"/>
    <mergeCell ref="C14:G14"/>
    <mergeCell ref="B6:E6"/>
    <mergeCell ref="B7:E7"/>
    <mergeCell ref="A8:G8"/>
    <mergeCell ref="A11:D11"/>
    <mergeCell ref="A12:D12"/>
    <mergeCell ref="A26:B26"/>
    <mergeCell ref="A15:C15"/>
    <mergeCell ref="A16:C16"/>
    <mergeCell ref="A17:C17"/>
    <mergeCell ref="A18:C18"/>
    <mergeCell ref="A19:C19"/>
    <mergeCell ref="A20:C20"/>
    <mergeCell ref="A21:C21"/>
    <mergeCell ref="A22:B22"/>
    <mergeCell ref="C22:G22"/>
    <mergeCell ref="A23:B23"/>
    <mergeCell ref="A24:B24"/>
    <mergeCell ref="A27:B27"/>
    <mergeCell ref="A28:B28"/>
    <mergeCell ref="A29:E29"/>
    <mergeCell ref="A30:G31"/>
    <mergeCell ref="A32:F32"/>
  </mergeCell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5" workbookViewId="0">
      <selection activeCell="G36" sqref="G36"/>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52.5" customHeight="1" x14ac:dyDescent="0.25">
      <c r="A7" s="15" t="s">
        <v>164</v>
      </c>
      <c r="B7" s="235" t="str">
        <f>+TABACAL!B38</f>
        <v>Suministro, transporte e instalación de tubería metálica EMT diámetro 1". Incluye adaptadores, uniones, curvas, grapas doble ala y demás accesorios necesarios para su correcta instalación.</v>
      </c>
      <c r="C7" s="235"/>
      <c r="D7" s="235"/>
      <c r="E7" s="235"/>
      <c r="F7" s="16" t="str">
        <f>+TABACAL!C33</f>
        <v>ml</v>
      </c>
      <c r="G7" s="53">
        <f>+TABACAL!D38</f>
        <v>30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698.640625</v>
      </c>
    </row>
    <row r="13" spans="1:7" ht="15.75" thickBot="1" x14ac:dyDescent="0.3">
      <c r="A13" s="23"/>
      <c r="F13" s="21" t="s">
        <v>45</v>
      </c>
      <c r="G13" s="22">
        <f>SUM(G12:G12)</f>
        <v>698.640625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24.75" customHeight="1" x14ac:dyDescent="0.25">
      <c r="A16" s="260" t="s">
        <v>275</v>
      </c>
      <c r="B16" s="261"/>
      <c r="C16" s="262"/>
      <c r="D16" s="85" t="s">
        <v>9</v>
      </c>
      <c r="E16" s="85">
        <v>1</v>
      </c>
      <c r="F16" s="91">
        <v>18632.625</v>
      </c>
      <c r="G16" s="83">
        <f>+F16*E16</f>
        <v>18632.625</v>
      </c>
    </row>
    <row r="17" spans="1:10" x14ac:dyDescent="0.25">
      <c r="A17" s="259" t="s">
        <v>276</v>
      </c>
      <c r="B17" s="241"/>
      <c r="C17" s="242"/>
      <c r="D17" s="52" t="s">
        <v>47</v>
      </c>
      <c r="E17" s="52">
        <v>0.5</v>
      </c>
      <c r="F17" s="91">
        <v>3200</v>
      </c>
      <c r="G17" s="83">
        <f t="shared" ref="G17:G20" si="0">+F17*E17</f>
        <v>1600</v>
      </c>
    </row>
    <row r="18" spans="1:10" x14ac:dyDescent="0.25">
      <c r="A18" s="220" t="s">
        <v>277</v>
      </c>
      <c r="B18" s="220"/>
      <c r="C18" s="220"/>
      <c r="D18" s="52" t="s">
        <v>47</v>
      </c>
      <c r="E18" s="52">
        <v>1</v>
      </c>
      <c r="F18" s="91">
        <v>2100</v>
      </c>
      <c r="G18" s="83">
        <f t="shared" si="0"/>
        <v>2100</v>
      </c>
    </row>
    <row r="19" spans="1:10" x14ac:dyDescent="0.25">
      <c r="A19" s="220" t="s">
        <v>278</v>
      </c>
      <c r="B19" s="220"/>
      <c r="C19" s="220"/>
      <c r="D19" s="52" t="s">
        <v>47</v>
      </c>
      <c r="E19" s="52">
        <v>0.5</v>
      </c>
      <c r="F19" s="91">
        <v>2200</v>
      </c>
      <c r="G19" s="83">
        <f t="shared" si="0"/>
        <v>1100</v>
      </c>
    </row>
    <row r="20" spans="1:10" x14ac:dyDescent="0.25">
      <c r="A20" s="220" t="s">
        <v>279</v>
      </c>
      <c r="B20" s="220"/>
      <c r="C20" s="220"/>
      <c r="D20" s="52" t="s">
        <v>47</v>
      </c>
      <c r="E20" s="52">
        <v>1</v>
      </c>
      <c r="F20" s="91">
        <v>2300</v>
      </c>
      <c r="G20" s="83">
        <f t="shared" si="0"/>
        <v>2300</v>
      </c>
    </row>
    <row r="21" spans="1:10" x14ac:dyDescent="0.25">
      <c r="A21" s="220"/>
      <c r="B21" s="220"/>
      <c r="C21" s="220"/>
      <c r="D21" s="21"/>
      <c r="E21" s="21"/>
      <c r="F21" s="21" t="s">
        <v>45</v>
      </c>
      <c r="G21" s="46">
        <f>SUM(G16:G20)</f>
        <v>25732.625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16</v>
      </c>
      <c r="G24" s="27">
        <f>+E24/F24</f>
        <v>13972.8125</v>
      </c>
    </row>
    <row r="25" spans="1:10" ht="15.75" thickBot="1" x14ac:dyDescent="0.3">
      <c r="A25" s="23"/>
      <c r="F25" s="21" t="s">
        <v>45</v>
      </c>
      <c r="G25" s="28">
        <f>SUM(G24)</f>
        <v>13972.8125</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1403.921875</v>
      </c>
      <c r="G28" s="90">
        <f>+F28*D28</f>
        <v>1403.921875</v>
      </c>
    </row>
    <row r="29" spans="1:10" ht="43.5" customHeight="1" x14ac:dyDescent="0.25">
      <c r="A29" s="221"/>
      <c r="B29" s="222"/>
      <c r="C29" s="222"/>
      <c r="D29" s="222"/>
      <c r="E29" s="223"/>
      <c r="F29" s="21" t="s">
        <v>45</v>
      </c>
      <c r="G29" s="95">
        <f>SUM(G28:G28)</f>
        <v>1403.921875</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41808</v>
      </c>
      <c r="H32" s="11">
        <f>+TABACAL!E38</f>
        <v>41808</v>
      </c>
    </row>
  </sheetData>
  <mergeCells count="24">
    <mergeCell ref="A14:B14"/>
    <mergeCell ref="C14:G14"/>
    <mergeCell ref="B6:E6"/>
    <mergeCell ref="B7:E7"/>
    <mergeCell ref="A8:G8"/>
    <mergeCell ref="A11:D11"/>
    <mergeCell ref="A12:D12"/>
    <mergeCell ref="A26:B26"/>
    <mergeCell ref="A15:C15"/>
    <mergeCell ref="A16:C16"/>
    <mergeCell ref="A17:C17"/>
    <mergeCell ref="A18:C18"/>
    <mergeCell ref="A19:C19"/>
    <mergeCell ref="A20:C20"/>
    <mergeCell ref="A21:C21"/>
    <mergeCell ref="A22:B22"/>
    <mergeCell ref="C22:G22"/>
    <mergeCell ref="A23:B23"/>
    <mergeCell ref="A24:B24"/>
    <mergeCell ref="A27:B27"/>
    <mergeCell ref="A28:B28"/>
    <mergeCell ref="A29:E29"/>
    <mergeCell ref="A30:G31"/>
    <mergeCell ref="A32:F32"/>
  </mergeCells>
  <pageMargins left="0.7" right="0.7" top="0.75" bottom="0.75" header="0.3" footer="0.3"/>
  <pageSetup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9"/>
  <sheetViews>
    <sheetView topLeftCell="A19" workbookViewId="0">
      <selection activeCell="D33" sqref="D33"/>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82.5" customHeight="1" x14ac:dyDescent="0.25">
      <c r="A7" s="15" t="s">
        <v>166</v>
      </c>
      <c r="B7" s="235" t="str">
        <f>+TABACAL!B39</f>
        <v>Suministro e instalación de Canaleta Metálica con división 12X5. Fabricada en acero cold rolled, diseñadas para uso interior, poseen tornillos de puesta a tierra, pintura en polvo con aplicaciones electrostática, texturizado en pintura epóxica /poliéster, cumple con RETIE.</v>
      </c>
      <c r="C7" s="235"/>
      <c r="D7" s="235"/>
      <c r="E7" s="235"/>
      <c r="F7" s="16" t="str">
        <f>+TABACAL!C33</f>
        <v>ml</v>
      </c>
      <c r="G7" s="53">
        <f>+TABACAL!D39</f>
        <v>28</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0.05*G22</f>
        <v>698.640625</v>
      </c>
    </row>
    <row r="13" spans="1:7" ht="15.75" thickBot="1" x14ac:dyDescent="0.3">
      <c r="A13" s="23"/>
      <c r="F13" s="21" t="s">
        <v>45</v>
      </c>
      <c r="G13" s="22">
        <f>SUM(G12:G12)</f>
        <v>698.640625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3.75" customHeight="1" x14ac:dyDescent="0.25">
      <c r="A16" s="260" t="s">
        <v>268</v>
      </c>
      <c r="B16" s="261"/>
      <c r="C16" s="262"/>
      <c r="D16" s="85" t="s">
        <v>19</v>
      </c>
      <c r="E16" s="85">
        <v>1</v>
      </c>
      <c r="F16" s="91">
        <v>57574.625</v>
      </c>
      <c r="G16" s="83">
        <f>+F16*E16</f>
        <v>57574.625</v>
      </c>
    </row>
    <row r="17" spans="1:10" x14ac:dyDescent="0.25">
      <c r="A17" s="259" t="s">
        <v>269</v>
      </c>
      <c r="B17" s="241"/>
      <c r="C17" s="242"/>
      <c r="D17" s="52" t="s">
        <v>47</v>
      </c>
      <c r="E17" s="52">
        <v>1</v>
      </c>
      <c r="F17" s="91">
        <v>1350</v>
      </c>
      <c r="G17" s="83">
        <f t="shared" ref="G17" si="0">+F17*E17</f>
        <v>1350</v>
      </c>
    </row>
    <row r="18" spans="1:10" x14ac:dyDescent="0.25">
      <c r="A18" s="220"/>
      <c r="B18" s="220"/>
      <c r="C18" s="220"/>
      <c r="D18" s="21"/>
      <c r="E18" s="21"/>
      <c r="F18" s="21" t="s">
        <v>45</v>
      </c>
      <c r="G18" s="46">
        <f>SUM(G16:G17)</f>
        <v>58924.625</v>
      </c>
    </row>
    <row r="19" spans="1:10" ht="12.75" customHeight="1" thickBot="1" x14ac:dyDescent="0.3">
      <c r="A19" s="252" t="s">
        <v>49</v>
      </c>
      <c r="B19" s="253"/>
      <c r="C19" s="233"/>
      <c r="D19" s="233"/>
      <c r="E19" s="233"/>
      <c r="F19" s="233"/>
      <c r="G19" s="234"/>
      <c r="J19" s="76"/>
    </row>
    <row r="20" spans="1:10" ht="15.75" thickBot="1" x14ac:dyDescent="0.3">
      <c r="A20" s="215" t="s">
        <v>50</v>
      </c>
      <c r="B20" s="216"/>
      <c r="C20" s="13" t="s">
        <v>51</v>
      </c>
      <c r="D20" s="13" t="s">
        <v>52</v>
      </c>
      <c r="E20" s="13" t="s">
        <v>53</v>
      </c>
      <c r="F20" s="13" t="s">
        <v>54</v>
      </c>
      <c r="G20" s="14" t="s">
        <v>44</v>
      </c>
    </row>
    <row r="21" spans="1:10" x14ac:dyDescent="0.25">
      <c r="A21" s="230" t="str">
        <f>+'insumos-MO'!B43</f>
        <v>Cuadrilla de construcción 1*1</v>
      </c>
      <c r="B21" s="218"/>
      <c r="C21" s="29">
        <f>+'insumos-MO'!E43</f>
        <v>223565</v>
      </c>
      <c r="D21" s="24"/>
      <c r="E21" s="29">
        <f>+C21</f>
        <v>223565</v>
      </c>
      <c r="F21" s="25">
        <v>16</v>
      </c>
      <c r="G21" s="27">
        <f>+E21/F21</f>
        <v>13972.8125</v>
      </c>
    </row>
    <row r="22" spans="1:10" ht="15.75" thickBot="1" x14ac:dyDescent="0.3">
      <c r="A22" s="23"/>
      <c r="F22" s="21" t="s">
        <v>45</v>
      </c>
      <c r="G22" s="28">
        <f>SUM(G21)</f>
        <v>13972.8125</v>
      </c>
    </row>
    <row r="23" spans="1:10" ht="15.75" thickBot="1" x14ac:dyDescent="0.3">
      <c r="A23" s="213" t="s">
        <v>55</v>
      </c>
      <c r="B23" s="214"/>
      <c r="G23" s="18"/>
    </row>
    <row r="24" spans="1:10" ht="15.75" thickBot="1" x14ac:dyDescent="0.3">
      <c r="A24" s="215" t="s">
        <v>56</v>
      </c>
      <c r="B24" s="216"/>
      <c r="C24" s="30" t="s">
        <v>38</v>
      </c>
      <c r="D24" s="13" t="s">
        <v>39</v>
      </c>
      <c r="E24" s="31"/>
      <c r="F24" s="13" t="s">
        <v>205</v>
      </c>
      <c r="G24" s="14" t="s">
        <v>44</v>
      </c>
    </row>
    <row r="25" spans="1:10" x14ac:dyDescent="0.25">
      <c r="A25" s="219" t="s">
        <v>241</v>
      </c>
      <c r="B25" s="220"/>
      <c r="C25" s="21" t="s">
        <v>38</v>
      </c>
      <c r="D25" s="21">
        <v>1</v>
      </c>
      <c r="E25" s="21"/>
      <c r="F25" s="92">
        <v>1403.921875</v>
      </c>
      <c r="G25" s="90">
        <f>+F25*D25</f>
        <v>1403.921875</v>
      </c>
    </row>
    <row r="26" spans="1:10" ht="43.5" customHeight="1" x14ac:dyDescent="0.25">
      <c r="A26" s="221"/>
      <c r="B26" s="222"/>
      <c r="C26" s="222"/>
      <c r="D26" s="222"/>
      <c r="E26" s="223"/>
      <c r="F26" s="21" t="s">
        <v>45</v>
      </c>
      <c r="G26" s="95">
        <f>SUM(G25:G25)</f>
        <v>1403.921875</v>
      </c>
    </row>
    <row r="27" spans="1:10" x14ac:dyDescent="0.25">
      <c r="A27" s="224"/>
      <c r="B27" s="225"/>
      <c r="C27" s="225"/>
      <c r="D27" s="225"/>
      <c r="E27" s="225"/>
      <c r="F27" s="225"/>
      <c r="G27" s="226"/>
    </row>
    <row r="28" spans="1:10" ht="15.75" thickBot="1" x14ac:dyDescent="0.3">
      <c r="A28" s="227"/>
      <c r="B28" s="228"/>
      <c r="C28" s="228"/>
      <c r="D28" s="228"/>
      <c r="E28" s="228"/>
      <c r="F28" s="228"/>
      <c r="G28" s="229"/>
    </row>
    <row r="29" spans="1:10" ht="15.75" thickBot="1" x14ac:dyDescent="0.3">
      <c r="A29" s="210" t="s">
        <v>59</v>
      </c>
      <c r="B29" s="211"/>
      <c r="C29" s="211"/>
      <c r="D29" s="211"/>
      <c r="E29" s="211"/>
      <c r="F29" s="212"/>
      <c r="G29" s="47">
        <f>+G26+G22+G18+G13</f>
        <v>75000</v>
      </c>
      <c r="H29" s="11">
        <f>+TABACAL!E39</f>
        <v>75000</v>
      </c>
    </row>
  </sheetData>
  <mergeCells count="21">
    <mergeCell ref="A23:B23"/>
    <mergeCell ref="A15:C15"/>
    <mergeCell ref="A16:C16"/>
    <mergeCell ref="A17:C17"/>
    <mergeCell ref="B6:E6"/>
    <mergeCell ref="B7:E7"/>
    <mergeCell ref="A8:G8"/>
    <mergeCell ref="A11:D11"/>
    <mergeCell ref="A12:D12"/>
    <mergeCell ref="A14:B14"/>
    <mergeCell ref="C14:G14"/>
    <mergeCell ref="A18:C18"/>
    <mergeCell ref="A19:B19"/>
    <mergeCell ref="C19:G19"/>
    <mergeCell ref="A20:B20"/>
    <mergeCell ref="A21:B21"/>
    <mergeCell ref="A24:B24"/>
    <mergeCell ref="A25:B25"/>
    <mergeCell ref="A26:E26"/>
    <mergeCell ref="A27:G28"/>
    <mergeCell ref="A29:F29"/>
  </mergeCell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28"/>
  <sheetViews>
    <sheetView topLeftCell="A22" workbookViewId="0">
      <selection activeCell="H33" sqref="H33"/>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5.1406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50.25" customHeight="1" x14ac:dyDescent="0.25">
      <c r="A7" s="15" t="s">
        <v>169</v>
      </c>
      <c r="B7" s="235" t="str">
        <f>+TABACAL!B41</f>
        <v>Suministro, transporte e instalación de caja metálica 12x12x5 de sobreponer con tapa liza, marcación con cinta de acuerdo a la norma y demás accesorios necesarios para su correcta instalación</v>
      </c>
      <c r="C7" s="235"/>
      <c r="D7" s="235"/>
      <c r="E7" s="235"/>
      <c r="F7" s="16" t="str">
        <f>+TABACAL!C41</f>
        <v>Unidad</v>
      </c>
      <c r="G7" s="53">
        <f>+TABACAL!D41</f>
        <v>32</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0.05*G21</f>
        <v>447.13000000000005</v>
      </c>
    </row>
    <row r="13" spans="1:7" ht="15.75" thickBot="1" x14ac:dyDescent="0.3">
      <c r="A13" s="23"/>
      <c r="F13" s="21" t="s">
        <v>45</v>
      </c>
      <c r="G13" s="22">
        <f>SUM(G12:G12)</f>
        <v>447.13000000000005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3.75" customHeight="1" x14ac:dyDescent="0.25">
      <c r="A16" s="260" t="s">
        <v>270</v>
      </c>
      <c r="B16" s="261"/>
      <c r="C16" s="262"/>
      <c r="D16" s="85" t="s">
        <v>19</v>
      </c>
      <c r="E16" s="85">
        <v>1</v>
      </c>
      <c r="F16" s="91">
        <v>24206.348125000004</v>
      </c>
      <c r="G16" s="83">
        <f>+F16*E16</f>
        <v>24206.348125000004</v>
      </c>
    </row>
    <row r="17" spans="1:10" x14ac:dyDescent="0.25">
      <c r="A17" s="220"/>
      <c r="B17" s="220"/>
      <c r="C17" s="220"/>
      <c r="D17" s="21"/>
      <c r="E17" s="21"/>
      <c r="F17" s="21" t="s">
        <v>45</v>
      </c>
      <c r="G17" s="46">
        <f>SUM(G16:G16)</f>
        <v>24206.348125000004</v>
      </c>
    </row>
    <row r="18" spans="1:10" ht="12.75" customHeight="1" thickBot="1" x14ac:dyDescent="0.3">
      <c r="A18" s="252" t="s">
        <v>49</v>
      </c>
      <c r="B18" s="253"/>
      <c r="C18" s="233"/>
      <c r="D18" s="233"/>
      <c r="E18" s="233"/>
      <c r="F18" s="233"/>
      <c r="G18" s="234"/>
      <c r="J18" s="76"/>
    </row>
    <row r="19" spans="1:10" ht="15.75" thickBot="1" x14ac:dyDescent="0.3">
      <c r="A19" s="215" t="s">
        <v>50</v>
      </c>
      <c r="B19" s="216"/>
      <c r="C19" s="13" t="s">
        <v>51</v>
      </c>
      <c r="D19" s="13" t="s">
        <v>52</v>
      </c>
      <c r="E19" s="13" t="s">
        <v>53</v>
      </c>
      <c r="F19" s="13" t="s">
        <v>54</v>
      </c>
      <c r="G19" s="14" t="s">
        <v>44</v>
      </c>
    </row>
    <row r="20" spans="1:10" x14ac:dyDescent="0.25">
      <c r="A20" s="230" t="str">
        <f>+'insumos-MO'!B43</f>
        <v>Cuadrilla de construcción 1*1</v>
      </c>
      <c r="B20" s="218"/>
      <c r="C20" s="29">
        <f>+'insumos-MO'!E43</f>
        <v>223565</v>
      </c>
      <c r="D20" s="24"/>
      <c r="E20" s="29">
        <f>+C20</f>
        <v>223565</v>
      </c>
      <c r="F20" s="25">
        <v>25</v>
      </c>
      <c r="G20" s="27">
        <f>+E20/F20</f>
        <v>8942.6</v>
      </c>
    </row>
    <row r="21" spans="1:10" ht="15.75" thickBot="1" x14ac:dyDescent="0.3">
      <c r="A21" s="23"/>
      <c r="F21" s="21" t="s">
        <v>45</v>
      </c>
      <c r="G21" s="28">
        <f>SUM(G20)</f>
        <v>8942.6</v>
      </c>
    </row>
    <row r="22" spans="1:10" ht="15.75" thickBot="1" x14ac:dyDescent="0.3">
      <c r="A22" s="213" t="s">
        <v>55</v>
      </c>
      <c r="B22" s="214"/>
      <c r="G22" s="18"/>
    </row>
    <row r="23" spans="1:10" ht="15.75" thickBot="1" x14ac:dyDescent="0.3">
      <c r="A23" s="215" t="s">
        <v>56</v>
      </c>
      <c r="B23" s="216"/>
      <c r="C23" s="30" t="s">
        <v>38</v>
      </c>
      <c r="D23" s="13" t="s">
        <v>39</v>
      </c>
      <c r="E23" s="31"/>
      <c r="F23" s="13" t="s">
        <v>205</v>
      </c>
      <c r="G23" s="14" t="s">
        <v>44</v>
      </c>
    </row>
    <row r="24" spans="1:10" x14ac:dyDescent="0.25">
      <c r="A24" s="219" t="s">
        <v>241</v>
      </c>
      <c r="B24" s="220"/>
      <c r="C24" s="21" t="s">
        <v>38</v>
      </c>
      <c r="D24" s="21">
        <v>1</v>
      </c>
      <c r="E24" s="21"/>
      <c r="F24" s="92">
        <v>1403.921875</v>
      </c>
      <c r="G24" s="90">
        <f>+F24*D24</f>
        <v>1403.921875</v>
      </c>
    </row>
    <row r="25" spans="1:10" ht="43.5" customHeight="1" x14ac:dyDescent="0.25">
      <c r="A25" s="221"/>
      <c r="B25" s="222"/>
      <c r="C25" s="222"/>
      <c r="D25" s="222"/>
      <c r="E25" s="223"/>
      <c r="F25" s="21" t="s">
        <v>45</v>
      </c>
      <c r="G25" s="95">
        <f>SUM(G24:G24)</f>
        <v>1403.921875</v>
      </c>
    </row>
    <row r="26" spans="1:10" x14ac:dyDescent="0.25">
      <c r="A26" s="224"/>
      <c r="B26" s="225"/>
      <c r="C26" s="225"/>
      <c r="D26" s="225"/>
      <c r="E26" s="225"/>
      <c r="F26" s="225"/>
      <c r="G26" s="226"/>
    </row>
    <row r="27" spans="1:10" ht="15.75" thickBot="1" x14ac:dyDescent="0.3">
      <c r="A27" s="227"/>
      <c r="B27" s="228"/>
      <c r="C27" s="228"/>
      <c r="D27" s="228"/>
      <c r="E27" s="228"/>
      <c r="F27" s="228"/>
      <c r="G27" s="229"/>
    </row>
    <row r="28" spans="1:10" ht="15.75" thickBot="1" x14ac:dyDescent="0.3">
      <c r="A28" s="210" t="s">
        <v>59</v>
      </c>
      <c r="B28" s="211"/>
      <c r="C28" s="211"/>
      <c r="D28" s="211"/>
      <c r="E28" s="211"/>
      <c r="F28" s="212"/>
      <c r="G28" s="47">
        <f>+G25+G21+G17+G13</f>
        <v>35000</v>
      </c>
      <c r="H28" s="11">
        <f>+TABACAL!E41</f>
        <v>35000</v>
      </c>
    </row>
  </sheetData>
  <mergeCells count="20">
    <mergeCell ref="A14:B14"/>
    <mergeCell ref="C14:G14"/>
    <mergeCell ref="B6:E6"/>
    <mergeCell ref="B7:E7"/>
    <mergeCell ref="A8:G8"/>
    <mergeCell ref="A11:D11"/>
    <mergeCell ref="A12:D12"/>
    <mergeCell ref="A15:C15"/>
    <mergeCell ref="A16:C16"/>
    <mergeCell ref="A17:C17"/>
    <mergeCell ref="A18:B18"/>
    <mergeCell ref="C18:G18"/>
    <mergeCell ref="A26:G27"/>
    <mergeCell ref="A28:F28"/>
    <mergeCell ref="A19:B19"/>
    <mergeCell ref="A20:B20"/>
    <mergeCell ref="A22:B22"/>
    <mergeCell ref="A23:B23"/>
    <mergeCell ref="A24:B24"/>
    <mergeCell ref="A25:E25"/>
  </mergeCell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D38" sqref="D38"/>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138" customHeight="1" x14ac:dyDescent="0.25">
      <c r="A7" s="15" t="s">
        <v>172</v>
      </c>
      <c r="B7" s="235" t="str">
        <f>+TABACAL!B43</f>
        <v xml:space="preserve">Suministro, transporte e instalación de salida eléctrica expuesta en tubería EMT para tomacorriente Blanco doble grado hospitalario con polo a tierra 15A y según norma NEMA 5-15R o equivalente. Incluye tomacorriente Blanco grado hospitalario, 3 metros de tubo EMT 3/4", encintada, 3 metros de cable 3x12 AWG-Cu-FR LS, caja metálica 12x12x5 de sobreponer con tapa suplemento, conectores de conexión y/o empalme, grapa metálica doble ala, marcación con cinta de acuerdo a la norma y demás accesorios necesarios para su correcta instalación. </v>
      </c>
      <c r="C7" s="235"/>
      <c r="D7" s="235"/>
      <c r="E7" s="235"/>
      <c r="F7" s="16" t="str">
        <f>+TABACAL!C43</f>
        <v>Unidad</v>
      </c>
      <c r="G7" s="53">
        <f>+TABACAL!D43</f>
        <v>62</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1596.8928571428571</v>
      </c>
    </row>
    <row r="13" spans="1:7" ht="15.75" thickBot="1" x14ac:dyDescent="0.3">
      <c r="A13" s="23"/>
      <c r="F13" s="21" t="s">
        <v>45</v>
      </c>
      <c r="G13" s="22">
        <f>SUM(G12:G12)</f>
        <v>1596.8928571428571</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271</v>
      </c>
      <c r="B16" s="263"/>
      <c r="C16" s="263"/>
      <c r="D16" s="86" t="s">
        <v>47</v>
      </c>
      <c r="E16" s="97">
        <v>1</v>
      </c>
      <c r="F16" s="43">
        <v>27206.000000000029</v>
      </c>
      <c r="G16" s="84">
        <f t="shared" ref="G16:G20" si="0">+F16*E16</f>
        <v>27206.000000000029</v>
      </c>
    </row>
    <row r="17" spans="1:10" x14ac:dyDescent="0.25">
      <c r="A17" s="263" t="s">
        <v>272</v>
      </c>
      <c r="B17" s="263"/>
      <c r="C17" s="263"/>
      <c r="D17" s="86" t="s">
        <v>19</v>
      </c>
      <c r="E17" s="97">
        <v>3</v>
      </c>
      <c r="F17" s="92">
        <v>12178.109374999991</v>
      </c>
      <c r="G17" s="84">
        <f t="shared" si="0"/>
        <v>36534.328124999971</v>
      </c>
    </row>
    <row r="18" spans="1:10" x14ac:dyDescent="0.25">
      <c r="A18" s="263" t="s">
        <v>274</v>
      </c>
      <c r="B18" s="263"/>
      <c r="C18" s="263"/>
      <c r="D18" s="86" t="s">
        <v>19</v>
      </c>
      <c r="E18" s="97">
        <v>9</v>
      </c>
      <c r="F18" s="43">
        <v>2700</v>
      </c>
      <c r="G18" s="84">
        <f t="shared" si="0"/>
        <v>24300</v>
      </c>
    </row>
    <row r="19" spans="1:10" x14ac:dyDescent="0.25">
      <c r="A19" s="263" t="s">
        <v>273</v>
      </c>
      <c r="B19" s="263"/>
      <c r="C19" s="263"/>
      <c r="D19" s="86" t="s">
        <v>47</v>
      </c>
      <c r="E19" s="97">
        <v>1</v>
      </c>
      <c r="F19" s="43">
        <v>9500</v>
      </c>
      <c r="G19" s="84">
        <f t="shared" si="0"/>
        <v>9500</v>
      </c>
    </row>
    <row r="20" spans="1:10" x14ac:dyDescent="0.25">
      <c r="A20" s="263" t="s">
        <v>286</v>
      </c>
      <c r="B20" s="263"/>
      <c r="C20" s="263"/>
      <c r="D20" s="86" t="s">
        <v>47</v>
      </c>
      <c r="E20" s="97">
        <v>1</v>
      </c>
      <c r="F20" s="43">
        <v>2100</v>
      </c>
      <c r="G20" s="84">
        <f t="shared" si="0"/>
        <v>2100</v>
      </c>
    </row>
    <row r="21" spans="1:10" x14ac:dyDescent="0.25">
      <c r="A21" s="220"/>
      <c r="B21" s="220"/>
      <c r="C21" s="220"/>
      <c r="D21" s="21"/>
      <c r="E21" s="48"/>
      <c r="F21" s="21" t="s">
        <v>45</v>
      </c>
      <c r="G21" s="46">
        <f>SUM(G16:G20)</f>
        <v>99640.328125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7</v>
      </c>
      <c r="G24" s="27">
        <f>+E24/F24</f>
        <v>31937.857142857141</v>
      </c>
    </row>
    <row r="25" spans="1:10" ht="15.75" thickBot="1" x14ac:dyDescent="0.3">
      <c r="A25" s="23"/>
      <c r="F25" s="21" t="s">
        <v>45</v>
      </c>
      <c r="G25" s="28">
        <f>SUM(G24)</f>
        <v>31937.857142857141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1403.921875</v>
      </c>
      <c r="G28" s="90">
        <f>+F28*D28</f>
        <v>1403.921875</v>
      </c>
    </row>
    <row r="29" spans="1:10" ht="43.5" customHeight="1" x14ac:dyDescent="0.25">
      <c r="A29" s="221"/>
      <c r="B29" s="222"/>
      <c r="C29" s="222"/>
      <c r="D29" s="222"/>
      <c r="E29" s="223"/>
      <c r="F29" s="21" t="s">
        <v>45</v>
      </c>
      <c r="G29" s="95">
        <f>SUM(G28:G28)</f>
        <v>1403.921875</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134579.00000000003</v>
      </c>
      <c r="H32" s="11">
        <f>+TABACAL!E43</f>
        <v>134579</v>
      </c>
    </row>
  </sheetData>
  <mergeCells count="24">
    <mergeCell ref="A14:B14"/>
    <mergeCell ref="C14:G14"/>
    <mergeCell ref="B6:E6"/>
    <mergeCell ref="B7:E7"/>
    <mergeCell ref="A8:G8"/>
    <mergeCell ref="A11:D11"/>
    <mergeCell ref="A12:D12"/>
    <mergeCell ref="A15:C15"/>
    <mergeCell ref="A21:C21"/>
    <mergeCell ref="A22:B22"/>
    <mergeCell ref="C22:G22"/>
    <mergeCell ref="A23:B23"/>
    <mergeCell ref="A32:F32"/>
    <mergeCell ref="A16:C16"/>
    <mergeCell ref="A17:C17"/>
    <mergeCell ref="A18:C18"/>
    <mergeCell ref="A19:C19"/>
    <mergeCell ref="A20:C20"/>
    <mergeCell ref="A24:B24"/>
    <mergeCell ref="A26:B26"/>
    <mergeCell ref="A27:B27"/>
    <mergeCell ref="A28:B28"/>
    <mergeCell ref="A29:E29"/>
    <mergeCell ref="A30:G31"/>
  </mergeCell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2" workbookViewId="0">
      <selection activeCell="H38" sqref="H38"/>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159" customHeight="1" x14ac:dyDescent="0.25">
      <c r="A7" s="15" t="s">
        <v>174</v>
      </c>
      <c r="B7" s="235" t="str">
        <f>+TABACAL!B44</f>
        <v>Suministro, transporte e instalación de salida eléctrica expuesta en tubería EMT para tomacorriente doble grado hospitalario con polo a tierra aislada color naranja 10-15 A. LEV ref 5262-IG, 125 V y según la norma NEMA 5-15R, prueba de conformidad UL y RETIE. Incluye tomacorriente Naranja grado hospitalario, 3 metros de tubo EMT 3/4", encintada, 3 metros de cable 3x12 AWG-Cu-FR LS, caja metálica 12x12x5 de sobreponer con tapa suplemento, conectores de conexión y/o empalme, grapa metálica doble ala, marcación con cinta de acuerdo a la norma y demás accesorios necesarios para su correcta instalación</v>
      </c>
      <c r="C7" s="235"/>
      <c r="D7" s="235"/>
      <c r="E7" s="235"/>
      <c r="F7" s="16" t="str">
        <f>+TABACAL!C43</f>
        <v>Unidad</v>
      </c>
      <c r="G7" s="53">
        <f>+TABACAL!D44</f>
        <v>28</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1596.8928571428571</v>
      </c>
    </row>
    <row r="13" spans="1:7" ht="15.75" thickBot="1" x14ac:dyDescent="0.3">
      <c r="A13" s="23"/>
      <c r="F13" s="21" t="s">
        <v>45</v>
      </c>
      <c r="G13" s="22">
        <f>SUM(G12:G12)</f>
        <v>1596.8928571428571</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280</v>
      </c>
      <c r="B16" s="263"/>
      <c r="C16" s="263"/>
      <c r="D16" s="86" t="s">
        <v>47</v>
      </c>
      <c r="E16" s="97">
        <v>1</v>
      </c>
      <c r="F16" s="43">
        <v>21500.000000000029</v>
      </c>
      <c r="G16" s="84">
        <f t="shared" ref="G16:G20" si="0">+F16*E16</f>
        <v>21500.000000000029</v>
      </c>
    </row>
    <row r="17" spans="1:10" x14ac:dyDescent="0.25">
      <c r="A17" s="263" t="s">
        <v>272</v>
      </c>
      <c r="B17" s="263"/>
      <c r="C17" s="263"/>
      <c r="D17" s="86" t="s">
        <v>19</v>
      </c>
      <c r="E17" s="97">
        <v>3</v>
      </c>
      <c r="F17" s="92">
        <v>12178.109374999991</v>
      </c>
      <c r="G17" s="84">
        <f t="shared" si="0"/>
        <v>36534.328124999971</v>
      </c>
    </row>
    <row r="18" spans="1:10" x14ac:dyDescent="0.25">
      <c r="A18" s="263" t="s">
        <v>274</v>
      </c>
      <c r="B18" s="263"/>
      <c r="C18" s="263"/>
      <c r="D18" s="86" t="s">
        <v>19</v>
      </c>
      <c r="E18" s="97">
        <v>9</v>
      </c>
      <c r="F18" s="43">
        <v>2700</v>
      </c>
      <c r="G18" s="84">
        <f t="shared" si="0"/>
        <v>24300</v>
      </c>
    </row>
    <row r="19" spans="1:10" x14ac:dyDescent="0.25">
      <c r="A19" s="263" t="s">
        <v>273</v>
      </c>
      <c r="B19" s="263"/>
      <c r="C19" s="263"/>
      <c r="D19" s="86" t="s">
        <v>47</v>
      </c>
      <c r="E19" s="97">
        <v>1</v>
      </c>
      <c r="F19" s="43">
        <v>9500</v>
      </c>
      <c r="G19" s="84">
        <f t="shared" si="0"/>
        <v>9500</v>
      </c>
    </row>
    <row r="20" spans="1:10" x14ac:dyDescent="0.25">
      <c r="A20" s="263" t="s">
        <v>286</v>
      </c>
      <c r="B20" s="263"/>
      <c r="C20" s="263"/>
      <c r="D20" s="86" t="s">
        <v>47</v>
      </c>
      <c r="E20" s="97">
        <v>1</v>
      </c>
      <c r="F20" s="43">
        <v>2100</v>
      </c>
      <c r="G20" s="84">
        <f t="shared" si="0"/>
        <v>2100</v>
      </c>
    </row>
    <row r="21" spans="1:10" x14ac:dyDescent="0.25">
      <c r="A21" s="220"/>
      <c r="B21" s="220"/>
      <c r="C21" s="220"/>
      <c r="D21" s="21"/>
      <c r="E21" s="48"/>
      <c r="F21" s="21" t="s">
        <v>45</v>
      </c>
      <c r="G21" s="46">
        <f>SUM(G16:G20)</f>
        <v>93934.328125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7</v>
      </c>
      <c r="G24" s="27">
        <f>+E24/F24</f>
        <v>31937.857142857141</v>
      </c>
    </row>
    <row r="25" spans="1:10" ht="15.75" thickBot="1" x14ac:dyDescent="0.3">
      <c r="A25" s="23"/>
      <c r="F25" s="21" t="s">
        <v>45</v>
      </c>
      <c r="G25" s="28">
        <f>SUM(G24)</f>
        <v>31937.857142857141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t="s">
        <v>38</v>
      </c>
      <c r="D28" s="21">
        <v>1</v>
      </c>
      <c r="E28" s="21"/>
      <c r="F28" s="92">
        <v>1403.921875</v>
      </c>
      <c r="G28" s="90">
        <f>+F28*D28</f>
        <v>1403.921875</v>
      </c>
    </row>
    <row r="29" spans="1:10" ht="43.5" customHeight="1" x14ac:dyDescent="0.25">
      <c r="A29" s="221"/>
      <c r="B29" s="222"/>
      <c r="C29" s="222"/>
      <c r="D29" s="222"/>
      <c r="E29" s="223"/>
      <c r="F29" s="21" t="s">
        <v>45</v>
      </c>
      <c r="G29" s="95">
        <f>SUM(G28:G28)</f>
        <v>1403.921875</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128873</v>
      </c>
      <c r="H32" s="11">
        <f>+TABACAL!E44</f>
        <v>128873</v>
      </c>
    </row>
  </sheetData>
  <mergeCells count="24">
    <mergeCell ref="A14:B14"/>
    <mergeCell ref="C14:G14"/>
    <mergeCell ref="B6:E6"/>
    <mergeCell ref="B7:E7"/>
    <mergeCell ref="A8:G8"/>
    <mergeCell ref="A11:D11"/>
    <mergeCell ref="A12:D12"/>
    <mergeCell ref="A26:B26"/>
    <mergeCell ref="A15:C15"/>
    <mergeCell ref="A16:C16"/>
    <mergeCell ref="A17:C17"/>
    <mergeCell ref="A18:C18"/>
    <mergeCell ref="A19:C19"/>
    <mergeCell ref="A20:C20"/>
    <mergeCell ref="A21:C21"/>
    <mergeCell ref="A22:B22"/>
    <mergeCell ref="C22:G22"/>
    <mergeCell ref="A23:B23"/>
    <mergeCell ref="A24:B24"/>
    <mergeCell ref="A27:B27"/>
    <mergeCell ref="A28:B28"/>
    <mergeCell ref="A29:E29"/>
    <mergeCell ref="A30:G31"/>
    <mergeCell ref="A32:F32"/>
  </mergeCells>
  <pageMargins left="0.7" right="0.7" top="0.75" bottom="0.75" header="0.3" footer="0.3"/>
  <pageSetup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3"/>
  <sheetViews>
    <sheetView topLeftCell="A28" workbookViewId="0">
      <selection activeCell="C23" sqref="C23:G23"/>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140.25" customHeight="1" x14ac:dyDescent="0.25">
      <c r="A7" s="15" t="s">
        <v>176</v>
      </c>
      <c r="B7" s="235" t="str">
        <f>+TABACAL!B45</f>
        <v>Suministro, transporte e instalación de materiales para salida eléctrica de interruptor monopolar de alumbrado 15A. TIPO LEV referencia 1451, 10A, 125 V, según certificación RETIE y pruebas de conformidad UL por ducto EMT 3/4". Incluye el interruptor, tapa, 3 metros de tubo EMT 3/4", caja metálica 12x12x5 con tapa suplemento, adaptadores, curvas, uniones, 3 metros de cable 3x12 AWG-Cu-FR LS 75°C, conectores de conexión y empalme, tornillos y demás elementos y accesorios para su correcta instalación y funcionamiento.</v>
      </c>
      <c r="C7" s="235"/>
      <c r="D7" s="235"/>
      <c r="E7" s="235"/>
      <c r="F7" s="16" t="str">
        <f>+TABACAL!C43</f>
        <v>Unidad</v>
      </c>
      <c r="G7" s="53">
        <f>+TABACAL!D45</f>
        <v>16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0.05*G26</f>
        <v>1117.825</v>
      </c>
    </row>
    <row r="13" spans="1:7" ht="15.75" thickBot="1" x14ac:dyDescent="0.3">
      <c r="A13" s="23"/>
      <c r="F13" s="21" t="s">
        <v>45</v>
      </c>
      <c r="G13" s="22">
        <f>SUM(G12:G12)</f>
        <v>1117.825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281</v>
      </c>
      <c r="B16" s="263"/>
      <c r="C16" s="263"/>
      <c r="D16" s="86" t="s">
        <v>47</v>
      </c>
      <c r="E16" s="97">
        <v>1</v>
      </c>
      <c r="F16" s="43">
        <v>6500</v>
      </c>
      <c r="G16" s="84">
        <f t="shared" ref="G16:G21" si="0">+F16*E16</f>
        <v>6500</v>
      </c>
    </row>
    <row r="17" spans="1:10" x14ac:dyDescent="0.25">
      <c r="A17" s="263" t="s">
        <v>272</v>
      </c>
      <c r="B17" s="263"/>
      <c r="C17" s="263"/>
      <c r="D17" s="86" t="s">
        <v>19</v>
      </c>
      <c r="E17" s="97">
        <v>3</v>
      </c>
      <c r="F17" s="92">
        <v>12178.109374999991</v>
      </c>
      <c r="G17" s="84">
        <f t="shared" si="0"/>
        <v>36534.328124999971</v>
      </c>
    </row>
    <row r="18" spans="1:10" x14ac:dyDescent="0.25">
      <c r="A18" s="263" t="s">
        <v>274</v>
      </c>
      <c r="B18" s="263"/>
      <c r="C18" s="263"/>
      <c r="D18" s="86" t="s">
        <v>19</v>
      </c>
      <c r="E18" s="97">
        <v>9</v>
      </c>
      <c r="F18" s="43">
        <v>2700</v>
      </c>
      <c r="G18" s="84">
        <f t="shared" si="0"/>
        <v>24300</v>
      </c>
    </row>
    <row r="19" spans="1:10" x14ac:dyDescent="0.25">
      <c r="A19" s="263" t="s">
        <v>273</v>
      </c>
      <c r="B19" s="263"/>
      <c r="C19" s="263"/>
      <c r="D19" s="86" t="s">
        <v>47</v>
      </c>
      <c r="E19" s="97">
        <v>1</v>
      </c>
      <c r="F19" s="43">
        <v>9500</v>
      </c>
      <c r="G19" s="84">
        <f t="shared" si="0"/>
        <v>9500</v>
      </c>
    </row>
    <row r="20" spans="1:10" x14ac:dyDescent="0.25">
      <c r="A20" s="263" t="s">
        <v>285</v>
      </c>
      <c r="B20" s="263"/>
      <c r="C20" s="263"/>
      <c r="D20" s="86" t="s">
        <v>47</v>
      </c>
      <c r="E20" s="97">
        <v>1</v>
      </c>
      <c r="F20" s="43">
        <v>2100</v>
      </c>
      <c r="G20" s="84">
        <f t="shared" si="0"/>
        <v>2100</v>
      </c>
    </row>
    <row r="21" spans="1:10" x14ac:dyDescent="0.25">
      <c r="A21" s="263" t="s">
        <v>282</v>
      </c>
      <c r="B21" s="263"/>
      <c r="C21" s="263"/>
      <c r="D21" s="86" t="s">
        <v>33</v>
      </c>
      <c r="E21" s="97">
        <v>1</v>
      </c>
      <c r="F21" s="43">
        <v>2573.346875000032</v>
      </c>
      <c r="G21" s="84">
        <f t="shared" si="0"/>
        <v>2573.346875000032</v>
      </c>
    </row>
    <row r="22" spans="1:10" x14ac:dyDescent="0.25">
      <c r="A22" s="220"/>
      <c r="B22" s="220"/>
      <c r="C22" s="220"/>
      <c r="D22" s="21"/>
      <c r="E22" s="48"/>
      <c r="F22" s="21" t="s">
        <v>45</v>
      </c>
      <c r="G22" s="46">
        <f>SUM(G16:G21)</f>
        <v>81507.675000000003</v>
      </c>
    </row>
    <row r="23" spans="1:10" ht="12.75" customHeight="1" thickBot="1" x14ac:dyDescent="0.3">
      <c r="A23" s="252" t="s">
        <v>49</v>
      </c>
      <c r="B23" s="253"/>
      <c r="C23" s="233"/>
      <c r="D23" s="233"/>
      <c r="E23" s="233"/>
      <c r="F23" s="233"/>
      <c r="G23" s="234"/>
      <c r="J23" s="76"/>
    </row>
    <row r="24" spans="1:10" ht="15.75" thickBot="1" x14ac:dyDescent="0.3">
      <c r="A24" s="215" t="s">
        <v>50</v>
      </c>
      <c r="B24" s="216"/>
      <c r="C24" s="13" t="s">
        <v>51</v>
      </c>
      <c r="D24" s="13" t="s">
        <v>52</v>
      </c>
      <c r="E24" s="13" t="s">
        <v>53</v>
      </c>
      <c r="F24" s="13" t="s">
        <v>54</v>
      </c>
      <c r="G24" s="14" t="s">
        <v>44</v>
      </c>
    </row>
    <row r="25" spans="1:10" x14ac:dyDescent="0.25">
      <c r="A25" s="230" t="str">
        <f>+'insumos-MO'!B43</f>
        <v>Cuadrilla de construcción 1*1</v>
      </c>
      <c r="B25" s="218"/>
      <c r="C25" s="29">
        <f>+'insumos-MO'!E43</f>
        <v>223565</v>
      </c>
      <c r="D25" s="24"/>
      <c r="E25" s="29">
        <f>+C25</f>
        <v>223565</v>
      </c>
      <c r="F25" s="25">
        <v>10</v>
      </c>
      <c r="G25" s="27">
        <f>+E25/F25</f>
        <v>22356.5</v>
      </c>
    </row>
    <row r="26" spans="1:10" ht="15.75" thickBot="1" x14ac:dyDescent="0.3">
      <c r="A26" s="23"/>
      <c r="F26" s="21" t="s">
        <v>45</v>
      </c>
      <c r="G26" s="28">
        <f>SUM(G25)</f>
        <v>22356.5</v>
      </c>
    </row>
    <row r="27" spans="1:10" ht="15.75" thickBot="1" x14ac:dyDescent="0.3">
      <c r="A27" s="213" t="s">
        <v>55</v>
      </c>
      <c r="B27" s="214"/>
      <c r="G27" s="18"/>
    </row>
    <row r="28" spans="1:10" ht="15.75" thickBot="1" x14ac:dyDescent="0.3">
      <c r="A28" s="215" t="s">
        <v>56</v>
      </c>
      <c r="B28" s="216"/>
      <c r="C28" s="30" t="s">
        <v>38</v>
      </c>
      <c r="D28" s="13" t="s">
        <v>39</v>
      </c>
      <c r="E28" s="31"/>
      <c r="F28" s="13" t="s">
        <v>205</v>
      </c>
      <c r="G28" s="14" t="s">
        <v>44</v>
      </c>
    </row>
    <row r="29" spans="1:10" x14ac:dyDescent="0.25">
      <c r="A29" s="219" t="s">
        <v>241</v>
      </c>
      <c r="B29" s="220"/>
      <c r="C29" s="21"/>
      <c r="D29" s="21"/>
      <c r="E29" s="21"/>
      <c r="F29" s="92"/>
      <c r="G29" s="90">
        <f>+F29*D29</f>
        <v>0</v>
      </c>
    </row>
    <row r="30" spans="1:10" ht="43.5" customHeight="1" x14ac:dyDescent="0.25">
      <c r="A30" s="221"/>
      <c r="B30" s="222"/>
      <c r="C30" s="222"/>
      <c r="D30" s="222"/>
      <c r="E30" s="223"/>
      <c r="F30" s="21" t="s">
        <v>45</v>
      </c>
      <c r="G30" s="95">
        <f>SUM(G29:G29)</f>
        <v>0</v>
      </c>
    </row>
    <row r="31" spans="1:10" x14ac:dyDescent="0.25">
      <c r="A31" s="224"/>
      <c r="B31" s="225"/>
      <c r="C31" s="225"/>
      <c r="D31" s="225"/>
      <c r="E31" s="225"/>
      <c r="F31" s="225"/>
      <c r="G31" s="226"/>
    </row>
    <row r="32" spans="1:10" ht="15.75" thickBot="1" x14ac:dyDescent="0.3">
      <c r="A32" s="227"/>
      <c r="B32" s="228"/>
      <c r="C32" s="228"/>
      <c r="D32" s="228"/>
      <c r="E32" s="228"/>
      <c r="F32" s="228"/>
      <c r="G32" s="229"/>
    </row>
    <row r="33" spans="1:8" ht="15.75" thickBot="1" x14ac:dyDescent="0.3">
      <c r="A33" s="210" t="s">
        <v>59</v>
      </c>
      <c r="B33" s="211"/>
      <c r="C33" s="211"/>
      <c r="D33" s="211"/>
      <c r="E33" s="211"/>
      <c r="F33" s="212"/>
      <c r="G33" s="47">
        <f>+G30+G26+G22+G13</f>
        <v>104982</v>
      </c>
      <c r="H33" s="11">
        <f>+TABACAL!E45</f>
        <v>104982</v>
      </c>
    </row>
  </sheetData>
  <mergeCells count="25">
    <mergeCell ref="A14:B14"/>
    <mergeCell ref="C14:G14"/>
    <mergeCell ref="B6:E6"/>
    <mergeCell ref="B7:E7"/>
    <mergeCell ref="A8:G8"/>
    <mergeCell ref="A11:D11"/>
    <mergeCell ref="A12:D12"/>
    <mergeCell ref="A25:B25"/>
    <mergeCell ref="A27:B27"/>
    <mergeCell ref="A15:C15"/>
    <mergeCell ref="A16:C16"/>
    <mergeCell ref="A17:C17"/>
    <mergeCell ref="A18:C18"/>
    <mergeCell ref="A19:C19"/>
    <mergeCell ref="A20:C20"/>
    <mergeCell ref="A21:C21"/>
    <mergeCell ref="A22:C22"/>
    <mergeCell ref="A23:B23"/>
    <mergeCell ref="C23:G23"/>
    <mergeCell ref="A24:B24"/>
    <mergeCell ref="A28:B28"/>
    <mergeCell ref="A29:B29"/>
    <mergeCell ref="A30:E30"/>
    <mergeCell ref="A31:G32"/>
    <mergeCell ref="A33:F33"/>
  </mergeCell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3"/>
  <sheetViews>
    <sheetView topLeftCell="A19" workbookViewId="0">
      <selection activeCell="B40" sqref="B40"/>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140.25" customHeight="1" x14ac:dyDescent="0.25">
      <c r="A7" s="15" t="s">
        <v>178</v>
      </c>
      <c r="B7" s="235" t="str">
        <f>+TABACAL!B46</f>
        <v xml:space="preserve">Suministro, transporte e instalación de salida eléctrica expuesta para alumbrado, en tubería EMT, con tomacorrientes polo a tierra 15A 120V Tipo LEV referencia 5320 ACP y según norma NEMA 5-15R o equivalente.  Incluye tomacorriente, 3 metros de tubo EMT 3/4", encintada, 3 metros de cable 3x12 AWG-Cu-FR LS 75°C, caja metálica 12x12x5 de sobreponer con tapa suplemento, conectores de conexión y/o empalme, grapa metálica doble ala, marcación con cinta de acuerdo a la norma y demás accesorios necesarios para su correcta instalación. </v>
      </c>
      <c r="C7" s="235"/>
      <c r="D7" s="235"/>
      <c r="E7" s="235"/>
      <c r="F7" s="16" t="str">
        <f>+TABACAL!C43</f>
        <v>Unidad</v>
      </c>
      <c r="G7" s="53">
        <f>+TABACAL!D46</f>
        <v>30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0.05*G26</f>
        <v>1117.825</v>
      </c>
    </row>
    <row r="13" spans="1:7" ht="15.75" thickBot="1" x14ac:dyDescent="0.3">
      <c r="A13" s="23"/>
      <c r="F13" s="21" t="s">
        <v>45</v>
      </c>
      <c r="G13" s="22">
        <f>SUM(G12:G12)</f>
        <v>1117.825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283</v>
      </c>
      <c r="B16" s="263"/>
      <c r="C16" s="263"/>
      <c r="D16" s="86" t="s">
        <v>47</v>
      </c>
      <c r="E16" s="97">
        <v>1</v>
      </c>
      <c r="F16" s="43">
        <v>21518</v>
      </c>
      <c r="G16" s="84">
        <f t="shared" ref="G16:G21" si="0">+F16*E16</f>
        <v>21518</v>
      </c>
    </row>
    <row r="17" spans="1:10" x14ac:dyDescent="0.25">
      <c r="A17" s="263" t="s">
        <v>272</v>
      </c>
      <c r="B17" s="263"/>
      <c r="C17" s="263"/>
      <c r="D17" s="86" t="s">
        <v>19</v>
      </c>
      <c r="E17" s="97">
        <v>3</v>
      </c>
      <c r="F17" s="92">
        <v>12178.109374999991</v>
      </c>
      <c r="G17" s="84">
        <f t="shared" si="0"/>
        <v>36534.328124999971</v>
      </c>
    </row>
    <row r="18" spans="1:10" x14ac:dyDescent="0.25">
      <c r="A18" s="263" t="s">
        <v>274</v>
      </c>
      <c r="B18" s="263"/>
      <c r="C18" s="263"/>
      <c r="D18" s="86" t="s">
        <v>19</v>
      </c>
      <c r="E18" s="97">
        <v>9</v>
      </c>
      <c r="F18" s="43">
        <v>2700</v>
      </c>
      <c r="G18" s="84">
        <f t="shared" si="0"/>
        <v>24300</v>
      </c>
    </row>
    <row r="19" spans="1:10" x14ac:dyDescent="0.25">
      <c r="A19" s="263" t="s">
        <v>273</v>
      </c>
      <c r="B19" s="263"/>
      <c r="C19" s="263"/>
      <c r="D19" s="86" t="s">
        <v>47</v>
      </c>
      <c r="E19" s="97">
        <v>1</v>
      </c>
      <c r="F19" s="43">
        <v>9500</v>
      </c>
      <c r="G19" s="84">
        <f t="shared" si="0"/>
        <v>9500</v>
      </c>
    </row>
    <row r="20" spans="1:10" x14ac:dyDescent="0.25">
      <c r="A20" s="263" t="s">
        <v>284</v>
      </c>
      <c r="B20" s="263"/>
      <c r="C20" s="263"/>
      <c r="D20" s="86" t="s">
        <v>47</v>
      </c>
      <c r="E20" s="97">
        <v>1</v>
      </c>
      <c r="F20" s="43">
        <v>2100</v>
      </c>
      <c r="G20" s="84">
        <f t="shared" si="0"/>
        <v>2100</v>
      </c>
    </row>
    <row r="21" spans="1:10" x14ac:dyDescent="0.25">
      <c r="A21" s="263" t="s">
        <v>282</v>
      </c>
      <c r="B21" s="263"/>
      <c r="C21" s="263"/>
      <c r="D21" s="86" t="s">
        <v>33</v>
      </c>
      <c r="E21" s="97">
        <v>1</v>
      </c>
      <c r="F21" s="43">
        <v>2573.346875000032</v>
      </c>
      <c r="G21" s="84">
        <f t="shared" si="0"/>
        <v>2573.346875000032</v>
      </c>
    </row>
    <row r="22" spans="1:10" x14ac:dyDescent="0.25">
      <c r="A22" s="220"/>
      <c r="B22" s="220"/>
      <c r="C22" s="220"/>
      <c r="D22" s="21"/>
      <c r="E22" s="48"/>
      <c r="F22" s="21" t="s">
        <v>45</v>
      </c>
      <c r="G22" s="46">
        <f>SUM(G16:G21)</f>
        <v>96525.675000000003</v>
      </c>
    </row>
    <row r="23" spans="1:10" ht="12.75" customHeight="1" thickBot="1" x14ac:dyDescent="0.3">
      <c r="A23" s="252" t="s">
        <v>49</v>
      </c>
      <c r="B23" s="253"/>
      <c r="C23" s="233"/>
      <c r="D23" s="233"/>
      <c r="E23" s="233"/>
      <c r="F23" s="233"/>
      <c r="G23" s="234"/>
      <c r="J23" s="76"/>
    </row>
    <row r="24" spans="1:10" ht="15.75" thickBot="1" x14ac:dyDescent="0.3">
      <c r="A24" s="215" t="s">
        <v>50</v>
      </c>
      <c r="B24" s="216"/>
      <c r="C24" s="13" t="s">
        <v>51</v>
      </c>
      <c r="D24" s="13" t="s">
        <v>52</v>
      </c>
      <c r="E24" s="13" t="s">
        <v>53</v>
      </c>
      <c r="F24" s="13" t="s">
        <v>54</v>
      </c>
      <c r="G24" s="14" t="s">
        <v>44</v>
      </c>
    </row>
    <row r="25" spans="1:10" x14ac:dyDescent="0.25">
      <c r="A25" s="230" t="str">
        <f>+'insumos-MO'!B43</f>
        <v>Cuadrilla de construcción 1*1</v>
      </c>
      <c r="B25" s="218"/>
      <c r="C25" s="29">
        <f>+'insumos-MO'!E43</f>
        <v>223565</v>
      </c>
      <c r="D25" s="24"/>
      <c r="E25" s="29">
        <f>+C25</f>
        <v>223565</v>
      </c>
      <c r="F25" s="25">
        <v>10</v>
      </c>
      <c r="G25" s="27">
        <f>+E25/F25</f>
        <v>22356.5</v>
      </c>
    </row>
    <row r="26" spans="1:10" ht="15.75" thickBot="1" x14ac:dyDescent="0.3">
      <c r="A26" s="23"/>
      <c r="F26" s="21" t="s">
        <v>45</v>
      </c>
      <c r="G26" s="28">
        <f>SUM(G25)</f>
        <v>22356.5</v>
      </c>
    </row>
    <row r="27" spans="1:10" ht="15.75" thickBot="1" x14ac:dyDescent="0.3">
      <c r="A27" s="213" t="s">
        <v>55</v>
      </c>
      <c r="B27" s="214"/>
      <c r="G27" s="18"/>
    </row>
    <row r="28" spans="1:10" ht="15.75" thickBot="1" x14ac:dyDescent="0.3">
      <c r="A28" s="215" t="s">
        <v>56</v>
      </c>
      <c r="B28" s="216"/>
      <c r="C28" s="30" t="s">
        <v>38</v>
      </c>
      <c r="D28" s="13" t="s">
        <v>39</v>
      </c>
      <c r="E28" s="31"/>
      <c r="F28" s="13" t="s">
        <v>205</v>
      </c>
      <c r="G28" s="14" t="s">
        <v>44</v>
      </c>
    </row>
    <row r="29" spans="1:10" x14ac:dyDescent="0.25">
      <c r="A29" s="219" t="s">
        <v>241</v>
      </c>
      <c r="B29" s="220"/>
      <c r="C29" s="21"/>
      <c r="D29" s="21"/>
      <c r="E29" s="21"/>
      <c r="F29" s="92"/>
      <c r="G29" s="90">
        <f>+F29*D29</f>
        <v>0</v>
      </c>
    </row>
    <row r="30" spans="1:10" ht="43.5" customHeight="1" x14ac:dyDescent="0.25">
      <c r="A30" s="221"/>
      <c r="B30" s="222"/>
      <c r="C30" s="222"/>
      <c r="D30" s="222"/>
      <c r="E30" s="223"/>
      <c r="F30" s="21" t="s">
        <v>45</v>
      </c>
      <c r="G30" s="95">
        <f>SUM(G29:G29)</f>
        <v>0</v>
      </c>
    </row>
    <row r="31" spans="1:10" x14ac:dyDescent="0.25">
      <c r="A31" s="224"/>
      <c r="B31" s="225"/>
      <c r="C31" s="225"/>
      <c r="D31" s="225"/>
      <c r="E31" s="225"/>
      <c r="F31" s="225"/>
      <c r="G31" s="226"/>
    </row>
    <row r="32" spans="1:10" ht="15.75" thickBot="1" x14ac:dyDescent="0.3">
      <c r="A32" s="227"/>
      <c r="B32" s="228"/>
      <c r="C32" s="228"/>
      <c r="D32" s="228"/>
      <c r="E32" s="228"/>
      <c r="F32" s="228"/>
      <c r="G32" s="229"/>
    </row>
    <row r="33" spans="1:8" ht="15.75" thickBot="1" x14ac:dyDescent="0.3">
      <c r="A33" s="210" t="s">
        <v>59</v>
      </c>
      <c r="B33" s="211"/>
      <c r="C33" s="211"/>
      <c r="D33" s="211"/>
      <c r="E33" s="211"/>
      <c r="F33" s="212"/>
      <c r="G33" s="47">
        <f>+G30+G26+G22+G13</f>
        <v>120000</v>
      </c>
      <c r="H33" s="11">
        <f>+TABACAL!E46</f>
        <v>120000</v>
      </c>
    </row>
  </sheetData>
  <mergeCells count="25">
    <mergeCell ref="A20:C20"/>
    <mergeCell ref="B6:E6"/>
    <mergeCell ref="B7:E7"/>
    <mergeCell ref="A8:G8"/>
    <mergeCell ref="A11:D11"/>
    <mergeCell ref="A12:D12"/>
    <mergeCell ref="A14:B14"/>
    <mergeCell ref="C14:G14"/>
    <mergeCell ref="A15:C15"/>
    <mergeCell ref="A16:C16"/>
    <mergeCell ref="A17:C17"/>
    <mergeCell ref="A18:C18"/>
    <mergeCell ref="A19:C19"/>
    <mergeCell ref="A33:F33"/>
    <mergeCell ref="A21:C21"/>
    <mergeCell ref="A22:C22"/>
    <mergeCell ref="A23:B23"/>
    <mergeCell ref="C23:G23"/>
    <mergeCell ref="A24:B24"/>
    <mergeCell ref="A25:B25"/>
    <mergeCell ref="A27:B27"/>
    <mergeCell ref="A28:B28"/>
    <mergeCell ref="A29:B29"/>
    <mergeCell ref="A30:E30"/>
    <mergeCell ref="A31:G32"/>
  </mergeCell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3"/>
  <sheetViews>
    <sheetView topLeftCell="A28" workbookViewId="0">
      <selection activeCell="D40" sqref="D40"/>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93" customHeight="1" x14ac:dyDescent="0.25">
      <c r="A7" s="15" t="s">
        <v>180</v>
      </c>
      <c r="B7" s="235" t="str">
        <f>+TABACAL!B47</f>
        <v xml:space="preserve">Suministro, transporte e instalación de salida eléctrica expuesta para de sensor de presencia infrarrojo 360º, por ducto expuesto EMT. Incluye el sensor, 3 metros de tubo EMT 3/4", caja metálica 12x12x5 con tapa, 3 metros de cable 3x12 AWG-Cu-FR LS 75°C, tornillos, y demás accesorios y elementos para su correcta instalación y funcionamiento. </v>
      </c>
      <c r="C7" s="235"/>
      <c r="D7" s="235"/>
      <c r="E7" s="235"/>
      <c r="F7" s="16" t="str">
        <f>+TABACAL!C43</f>
        <v>Unidad</v>
      </c>
      <c r="G7" s="53">
        <f>+TABACAL!D47</f>
        <v>12</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0.05*G26</f>
        <v>1117.825</v>
      </c>
    </row>
    <row r="13" spans="1:7" ht="15.75" thickBot="1" x14ac:dyDescent="0.3">
      <c r="A13" s="23"/>
      <c r="F13" s="21" t="s">
        <v>45</v>
      </c>
      <c r="G13" s="22">
        <f>SUM(G12:G12)</f>
        <v>1117.825</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287</v>
      </c>
      <c r="B16" s="263"/>
      <c r="C16" s="263"/>
      <c r="D16" s="86" t="s">
        <v>47</v>
      </c>
      <c r="E16" s="97">
        <v>1</v>
      </c>
      <c r="F16" s="43">
        <v>115831.99999999994</v>
      </c>
      <c r="G16" s="84">
        <f t="shared" ref="G16:G21" si="0">+F16*E16</f>
        <v>115831.99999999994</v>
      </c>
    </row>
    <row r="17" spans="1:10" x14ac:dyDescent="0.25">
      <c r="A17" s="263" t="s">
        <v>272</v>
      </c>
      <c r="B17" s="263"/>
      <c r="C17" s="263"/>
      <c r="D17" s="86" t="s">
        <v>19</v>
      </c>
      <c r="E17" s="97">
        <v>3</v>
      </c>
      <c r="F17" s="92">
        <v>12178.109374999991</v>
      </c>
      <c r="G17" s="84">
        <f t="shared" si="0"/>
        <v>36534.328124999971</v>
      </c>
    </row>
    <row r="18" spans="1:10" x14ac:dyDescent="0.25">
      <c r="A18" s="263" t="s">
        <v>274</v>
      </c>
      <c r="B18" s="263"/>
      <c r="C18" s="263"/>
      <c r="D18" s="86" t="s">
        <v>19</v>
      </c>
      <c r="E18" s="97">
        <v>9</v>
      </c>
      <c r="F18" s="43">
        <v>2700</v>
      </c>
      <c r="G18" s="84">
        <f t="shared" si="0"/>
        <v>24300</v>
      </c>
    </row>
    <row r="19" spans="1:10" x14ac:dyDescent="0.25">
      <c r="A19" s="263" t="s">
        <v>273</v>
      </c>
      <c r="B19" s="263"/>
      <c r="C19" s="263"/>
      <c r="D19" s="86" t="s">
        <v>47</v>
      </c>
      <c r="E19" s="97">
        <v>1</v>
      </c>
      <c r="F19" s="43">
        <v>9500</v>
      </c>
      <c r="G19" s="84">
        <f t="shared" si="0"/>
        <v>9500</v>
      </c>
    </row>
    <row r="20" spans="1:10" x14ac:dyDescent="0.25">
      <c r="A20" s="263" t="s">
        <v>284</v>
      </c>
      <c r="B20" s="263"/>
      <c r="C20" s="263"/>
      <c r="D20" s="86" t="s">
        <v>47</v>
      </c>
      <c r="E20" s="97">
        <v>1</v>
      </c>
      <c r="F20" s="43">
        <v>2100</v>
      </c>
      <c r="G20" s="84">
        <f t="shared" si="0"/>
        <v>2100</v>
      </c>
    </row>
    <row r="21" spans="1:10" x14ac:dyDescent="0.25">
      <c r="A21" s="263" t="s">
        <v>282</v>
      </c>
      <c r="B21" s="263"/>
      <c r="C21" s="263"/>
      <c r="D21" s="86" t="s">
        <v>33</v>
      </c>
      <c r="E21" s="97">
        <v>1</v>
      </c>
      <c r="F21" s="43">
        <v>2573.346875000032</v>
      </c>
      <c r="G21" s="84">
        <f t="shared" si="0"/>
        <v>2573.346875000032</v>
      </c>
    </row>
    <row r="22" spans="1:10" x14ac:dyDescent="0.25">
      <c r="A22" s="220"/>
      <c r="B22" s="220"/>
      <c r="C22" s="220"/>
      <c r="D22" s="21"/>
      <c r="E22" s="48"/>
      <c r="F22" s="21" t="s">
        <v>45</v>
      </c>
      <c r="G22" s="46">
        <f>SUM(G16:G21)</f>
        <v>190839.67499999993</v>
      </c>
    </row>
    <row r="23" spans="1:10" ht="12.75" customHeight="1" thickBot="1" x14ac:dyDescent="0.3">
      <c r="A23" s="252" t="s">
        <v>49</v>
      </c>
      <c r="B23" s="253"/>
      <c r="C23" s="233"/>
      <c r="D23" s="233"/>
      <c r="E23" s="233"/>
      <c r="F23" s="233"/>
      <c r="G23" s="234"/>
      <c r="J23" s="76"/>
    </row>
    <row r="24" spans="1:10" ht="15.75" thickBot="1" x14ac:dyDescent="0.3">
      <c r="A24" s="215" t="s">
        <v>50</v>
      </c>
      <c r="B24" s="216"/>
      <c r="C24" s="13" t="s">
        <v>51</v>
      </c>
      <c r="D24" s="13" t="s">
        <v>52</v>
      </c>
      <c r="E24" s="13" t="s">
        <v>53</v>
      </c>
      <c r="F24" s="13" t="s">
        <v>54</v>
      </c>
      <c r="G24" s="14" t="s">
        <v>44</v>
      </c>
    </row>
    <row r="25" spans="1:10" x14ac:dyDescent="0.25">
      <c r="A25" s="230" t="str">
        <f>+'insumos-MO'!B43</f>
        <v>Cuadrilla de construcción 1*1</v>
      </c>
      <c r="B25" s="218"/>
      <c r="C25" s="29">
        <f>+'insumos-MO'!E43</f>
        <v>223565</v>
      </c>
      <c r="D25" s="24"/>
      <c r="E25" s="29">
        <f>+C25</f>
        <v>223565</v>
      </c>
      <c r="F25" s="25">
        <v>10</v>
      </c>
      <c r="G25" s="27">
        <f>+E25/F25</f>
        <v>22356.5</v>
      </c>
    </row>
    <row r="26" spans="1:10" ht="15.75" thickBot="1" x14ac:dyDescent="0.3">
      <c r="A26" s="23"/>
      <c r="F26" s="21" t="s">
        <v>45</v>
      </c>
      <c r="G26" s="28">
        <f>SUM(G25)</f>
        <v>22356.5</v>
      </c>
    </row>
    <row r="27" spans="1:10" ht="15.75" thickBot="1" x14ac:dyDescent="0.3">
      <c r="A27" s="213" t="s">
        <v>55</v>
      </c>
      <c r="B27" s="214"/>
      <c r="G27" s="18"/>
    </row>
    <row r="28" spans="1:10" ht="15.75" thickBot="1" x14ac:dyDescent="0.3">
      <c r="A28" s="215" t="s">
        <v>56</v>
      </c>
      <c r="B28" s="216"/>
      <c r="C28" s="30" t="s">
        <v>38</v>
      </c>
      <c r="D28" s="13" t="s">
        <v>39</v>
      </c>
      <c r="E28" s="31"/>
      <c r="F28" s="13" t="s">
        <v>205</v>
      </c>
      <c r="G28" s="14" t="s">
        <v>44</v>
      </c>
    </row>
    <row r="29" spans="1:10" x14ac:dyDescent="0.25">
      <c r="A29" s="219" t="s">
        <v>241</v>
      </c>
      <c r="B29" s="220"/>
      <c r="C29" s="21"/>
      <c r="D29" s="21"/>
      <c r="E29" s="21"/>
      <c r="F29" s="92"/>
      <c r="G29" s="90">
        <f>+F29*D29</f>
        <v>0</v>
      </c>
    </row>
    <row r="30" spans="1:10" ht="43.5" customHeight="1" x14ac:dyDescent="0.25">
      <c r="A30" s="221"/>
      <c r="B30" s="222"/>
      <c r="C30" s="222"/>
      <c r="D30" s="222"/>
      <c r="E30" s="223"/>
      <c r="F30" s="21" t="s">
        <v>45</v>
      </c>
      <c r="G30" s="95">
        <f>SUM(G29:G29)</f>
        <v>0</v>
      </c>
    </row>
    <row r="31" spans="1:10" x14ac:dyDescent="0.25">
      <c r="A31" s="224"/>
      <c r="B31" s="225"/>
      <c r="C31" s="225"/>
      <c r="D31" s="225"/>
      <c r="E31" s="225"/>
      <c r="F31" s="225"/>
      <c r="G31" s="226"/>
    </row>
    <row r="32" spans="1:10" ht="15.75" thickBot="1" x14ac:dyDescent="0.3">
      <c r="A32" s="227"/>
      <c r="B32" s="228"/>
      <c r="C32" s="228"/>
      <c r="D32" s="228"/>
      <c r="E32" s="228"/>
      <c r="F32" s="228"/>
      <c r="G32" s="229"/>
    </row>
    <row r="33" spans="1:8" ht="15.75" thickBot="1" x14ac:dyDescent="0.3">
      <c r="A33" s="210" t="s">
        <v>59</v>
      </c>
      <c r="B33" s="211"/>
      <c r="C33" s="211"/>
      <c r="D33" s="211"/>
      <c r="E33" s="211"/>
      <c r="F33" s="212"/>
      <c r="G33" s="47">
        <f>+G30+G26+G22+G13</f>
        <v>214313.99999999994</v>
      </c>
      <c r="H33" s="11">
        <f>+TABACAL!E47</f>
        <v>214314</v>
      </c>
    </row>
  </sheetData>
  <mergeCells count="25">
    <mergeCell ref="A20:C20"/>
    <mergeCell ref="B6:E6"/>
    <mergeCell ref="B7:E7"/>
    <mergeCell ref="A8:G8"/>
    <mergeCell ref="A11:D11"/>
    <mergeCell ref="A12:D12"/>
    <mergeCell ref="A14:B14"/>
    <mergeCell ref="C14:G14"/>
    <mergeCell ref="A15:C15"/>
    <mergeCell ref="A16:C16"/>
    <mergeCell ref="A17:C17"/>
    <mergeCell ref="A18:C18"/>
    <mergeCell ref="A19:C19"/>
    <mergeCell ref="A33:F33"/>
    <mergeCell ref="A21:C21"/>
    <mergeCell ref="A22:C22"/>
    <mergeCell ref="A23:B23"/>
    <mergeCell ref="C23:G23"/>
    <mergeCell ref="A24:B24"/>
    <mergeCell ref="A25:B25"/>
    <mergeCell ref="A27:B27"/>
    <mergeCell ref="A28:B28"/>
    <mergeCell ref="A29:B29"/>
    <mergeCell ref="A30:E30"/>
    <mergeCell ref="A31:G32"/>
  </mergeCells>
  <pageMargins left="0.7" right="0.7" top="0.75" bottom="0.75" header="0.3" footer="0.3"/>
  <pageSetup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D39" sqref="D39"/>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75.75" customHeight="1" x14ac:dyDescent="0.25">
      <c r="A7" s="15" t="s">
        <v>183</v>
      </c>
      <c r="B7" s="235" t="str">
        <f>+TABACAL!B49</f>
        <v>Suministro, transporte e instalación de Panel LED 30x120 cm para suspender 36W, KIT antisísmico, clavija macho caucho 15 A y 2 m de encuachetado 3x14 AWG, incluye terminales, elementos de marcación, encintado y elementos necesarios para su correcta instalación y funcionamiento.</v>
      </c>
      <c r="C7" s="235"/>
      <c r="D7" s="235"/>
      <c r="E7" s="235"/>
      <c r="F7" s="16" t="str">
        <f>+TABACAL!C43</f>
        <v>Unidad</v>
      </c>
      <c r="G7" s="53">
        <f>+TABACAL!D49</f>
        <v>20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1596.8928571428571</v>
      </c>
    </row>
    <row r="13" spans="1:7" ht="15.75" thickBot="1" x14ac:dyDescent="0.3">
      <c r="A13" s="23"/>
      <c r="F13" s="21" t="s">
        <v>45</v>
      </c>
      <c r="G13" s="22">
        <f>SUM(G12:G12)</f>
        <v>1596.8928571428571</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288</v>
      </c>
      <c r="B16" s="263"/>
      <c r="C16" s="263"/>
      <c r="D16" s="86" t="s">
        <v>47</v>
      </c>
      <c r="E16" s="97">
        <v>1</v>
      </c>
      <c r="F16" s="43">
        <v>206243.90312499995</v>
      </c>
      <c r="G16" s="84">
        <f t="shared" ref="G16:G20" si="0">+F16*E16</f>
        <v>206243.90312499995</v>
      </c>
    </row>
    <row r="17" spans="1:10" x14ac:dyDescent="0.25">
      <c r="A17" s="263" t="s">
        <v>289</v>
      </c>
      <c r="B17" s="263"/>
      <c r="C17" s="263"/>
      <c r="D17" s="86" t="s">
        <v>19</v>
      </c>
      <c r="E17" s="97">
        <v>1</v>
      </c>
      <c r="F17" s="92">
        <v>5500</v>
      </c>
      <c r="G17" s="84">
        <f t="shared" si="0"/>
        <v>5500</v>
      </c>
    </row>
    <row r="18" spans="1:10" x14ac:dyDescent="0.25">
      <c r="A18" s="263" t="s">
        <v>290</v>
      </c>
      <c r="B18" s="263"/>
      <c r="C18" s="263"/>
      <c r="D18" s="86" t="s">
        <v>19</v>
      </c>
      <c r="E18" s="97">
        <v>2</v>
      </c>
      <c r="F18" s="43">
        <v>7500</v>
      </c>
      <c r="G18" s="84">
        <f t="shared" si="0"/>
        <v>15000</v>
      </c>
    </row>
    <row r="19" spans="1:10" x14ac:dyDescent="0.25">
      <c r="A19" s="263" t="s">
        <v>291</v>
      </c>
      <c r="B19" s="263"/>
      <c r="C19" s="263"/>
      <c r="D19" s="86" t="s">
        <v>47</v>
      </c>
      <c r="E19" s="97">
        <v>1</v>
      </c>
      <c r="F19" s="43">
        <v>9500</v>
      </c>
      <c r="G19" s="84">
        <f t="shared" si="0"/>
        <v>9500</v>
      </c>
    </row>
    <row r="20" spans="1:10" x14ac:dyDescent="0.25">
      <c r="A20" s="263" t="s">
        <v>282</v>
      </c>
      <c r="B20" s="263"/>
      <c r="C20" s="263"/>
      <c r="D20" s="86" t="s">
        <v>33</v>
      </c>
      <c r="E20" s="97">
        <v>1</v>
      </c>
      <c r="F20" s="43">
        <v>2573.346875000032</v>
      </c>
      <c r="G20" s="84">
        <f t="shared" si="0"/>
        <v>2573.346875000032</v>
      </c>
    </row>
    <row r="21" spans="1:10" x14ac:dyDescent="0.25">
      <c r="A21" s="220"/>
      <c r="B21" s="220"/>
      <c r="C21" s="220"/>
      <c r="D21" s="21"/>
      <c r="E21" s="48"/>
      <c r="F21" s="21" t="s">
        <v>45</v>
      </c>
      <c r="G21" s="46">
        <f>SUM(G16:G20)</f>
        <v>238817.25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7</v>
      </c>
      <c r="G24" s="27">
        <f>+E24/F24</f>
        <v>31937.857142857141</v>
      </c>
    </row>
    <row r="25" spans="1:10" ht="15.75" thickBot="1" x14ac:dyDescent="0.3">
      <c r="A25" s="23"/>
      <c r="F25" s="21" t="s">
        <v>45</v>
      </c>
      <c r="G25" s="28">
        <f>SUM(G24)</f>
        <v>31937.857142857141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c r="D28" s="21"/>
      <c r="E28" s="21"/>
      <c r="F28" s="92"/>
      <c r="G28" s="90">
        <f>+F28*D28</f>
        <v>0</v>
      </c>
    </row>
    <row r="29" spans="1:10" ht="43.5" customHeight="1" x14ac:dyDescent="0.25">
      <c r="A29" s="221"/>
      <c r="B29" s="222"/>
      <c r="C29" s="222"/>
      <c r="D29" s="222"/>
      <c r="E29" s="223"/>
      <c r="F29" s="21" t="s">
        <v>45</v>
      </c>
      <c r="G29" s="95">
        <f>SUM(G28:G28)</f>
        <v>0</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272352</v>
      </c>
      <c r="H32" s="11">
        <f>+TABACAL!E49</f>
        <v>272352</v>
      </c>
    </row>
  </sheetData>
  <mergeCells count="24">
    <mergeCell ref="A14:B14"/>
    <mergeCell ref="C14:G14"/>
    <mergeCell ref="B6:E6"/>
    <mergeCell ref="B7:E7"/>
    <mergeCell ref="A8:G8"/>
    <mergeCell ref="A11:D11"/>
    <mergeCell ref="A12:D12"/>
    <mergeCell ref="A15:C15"/>
    <mergeCell ref="A16:C16"/>
    <mergeCell ref="A17:C17"/>
    <mergeCell ref="A18:C18"/>
    <mergeCell ref="A19:C19"/>
    <mergeCell ref="A32:F32"/>
    <mergeCell ref="A20:C20"/>
    <mergeCell ref="A21:C21"/>
    <mergeCell ref="A22:B22"/>
    <mergeCell ref="C22:G22"/>
    <mergeCell ref="A23:B23"/>
    <mergeCell ref="A24:B24"/>
    <mergeCell ref="A26:B26"/>
    <mergeCell ref="A27:B27"/>
    <mergeCell ref="A28:B28"/>
    <mergeCell ref="A29:E29"/>
    <mergeCell ref="A30:G31"/>
  </mergeCells>
  <pageMargins left="0.7" right="0.7" top="0.75" bottom="0.75" header="0.3" footer="0.3"/>
  <pageSetup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28" workbookViewId="0">
      <selection activeCell="E39" sqref="E39"/>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75.75" customHeight="1" x14ac:dyDescent="0.25">
      <c r="A7" s="15" t="s">
        <v>185</v>
      </c>
      <c r="B7" s="235" t="str">
        <f>+TABACAL!B50</f>
        <v>Suministro, transporte e instalación de Panel LED 60x60 cm para suspender 40W, KIT antisísmico, clavija macho caucho 15 A y 2 m de encuachetado 3x14 AWG, incluye terminales, elementos de marcación, encintado y elementos necesarios para su correcta instalación y funcionamiento.</v>
      </c>
      <c r="C7" s="235"/>
      <c r="D7" s="235"/>
      <c r="E7" s="235"/>
      <c r="F7" s="16" t="str">
        <f>+TABACAL!C43</f>
        <v>Unidad</v>
      </c>
      <c r="G7" s="53">
        <f>+TABACAL!D50</f>
        <v>10</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1596.8928571428571</v>
      </c>
    </row>
    <row r="13" spans="1:7" ht="15.75" thickBot="1" x14ac:dyDescent="0.3">
      <c r="A13" s="23"/>
      <c r="F13" s="21" t="s">
        <v>45</v>
      </c>
      <c r="G13" s="22">
        <f>SUM(G12:G12)</f>
        <v>1596.8928571428571</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292</v>
      </c>
      <c r="B16" s="263"/>
      <c r="C16" s="263"/>
      <c r="D16" s="86" t="s">
        <v>47</v>
      </c>
      <c r="E16" s="97">
        <v>1</v>
      </c>
      <c r="F16" s="43">
        <v>205494.90312499995</v>
      </c>
      <c r="G16" s="84">
        <f t="shared" ref="G16:G20" si="0">+F16*E16</f>
        <v>205494.90312499995</v>
      </c>
    </row>
    <row r="17" spans="1:10" x14ac:dyDescent="0.25">
      <c r="A17" s="263" t="s">
        <v>289</v>
      </c>
      <c r="B17" s="263"/>
      <c r="C17" s="263"/>
      <c r="D17" s="86" t="s">
        <v>19</v>
      </c>
      <c r="E17" s="97">
        <v>1</v>
      </c>
      <c r="F17" s="92">
        <v>5500</v>
      </c>
      <c r="G17" s="84">
        <f t="shared" si="0"/>
        <v>5500</v>
      </c>
    </row>
    <row r="18" spans="1:10" x14ac:dyDescent="0.25">
      <c r="A18" s="263" t="s">
        <v>290</v>
      </c>
      <c r="B18" s="263"/>
      <c r="C18" s="263"/>
      <c r="D18" s="86" t="s">
        <v>19</v>
      </c>
      <c r="E18" s="97">
        <v>2</v>
      </c>
      <c r="F18" s="43">
        <v>7500</v>
      </c>
      <c r="G18" s="84">
        <f t="shared" si="0"/>
        <v>15000</v>
      </c>
    </row>
    <row r="19" spans="1:10" x14ac:dyDescent="0.25">
      <c r="A19" s="263" t="s">
        <v>291</v>
      </c>
      <c r="B19" s="263"/>
      <c r="C19" s="263"/>
      <c r="D19" s="86" t="s">
        <v>47</v>
      </c>
      <c r="E19" s="97">
        <v>1</v>
      </c>
      <c r="F19" s="43">
        <v>9500</v>
      </c>
      <c r="G19" s="84">
        <f t="shared" si="0"/>
        <v>9500</v>
      </c>
    </row>
    <row r="20" spans="1:10" x14ac:dyDescent="0.25">
      <c r="A20" s="263" t="s">
        <v>282</v>
      </c>
      <c r="B20" s="263"/>
      <c r="C20" s="263"/>
      <c r="D20" s="86" t="s">
        <v>33</v>
      </c>
      <c r="E20" s="97">
        <v>1</v>
      </c>
      <c r="F20" s="43">
        <v>2573.346875000032</v>
      </c>
      <c r="G20" s="84">
        <f t="shared" si="0"/>
        <v>2573.346875000032</v>
      </c>
    </row>
    <row r="21" spans="1:10" x14ac:dyDescent="0.25">
      <c r="A21" s="220"/>
      <c r="B21" s="220"/>
      <c r="C21" s="220"/>
      <c r="D21" s="21"/>
      <c r="E21" s="48"/>
      <c r="F21" s="21" t="s">
        <v>45</v>
      </c>
      <c r="G21" s="46">
        <f>SUM(G16:G20)</f>
        <v>238068.25</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7</v>
      </c>
      <c r="G24" s="27">
        <f>+E24/F24</f>
        <v>31937.857142857141</v>
      </c>
    </row>
    <row r="25" spans="1:10" ht="15.75" thickBot="1" x14ac:dyDescent="0.3">
      <c r="A25" s="23"/>
      <c r="F25" s="21" t="s">
        <v>45</v>
      </c>
      <c r="G25" s="28">
        <f>SUM(G24)</f>
        <v>31937.857142857141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c r="D28" s="21"/>
      <c r="E28" s="21"/>
      <c r="F28" s="92"/>
      <c r="G28" s="90">
        <f>+F28*D28</f>
        <v>0</v>
      </c>
    </row>
    <row r="29" spans="1:10" ht="43.5" customHeight="1" x14ac:dyDescent="0.25">
      <c r="A29" s="221"/>
      <c r="B29" s="222"/>
      <c r="C29" s="222"/>
      <c r="D29" s="222"/>
      <c r="E29" s="223"/>
      <c r="F29" s="21" t="s">
        <v>45</v>
      </c>
      <c r="G29" s="95">
        <f>SUM(G28:G28)</f>
        <v>0</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271603</v>
      </c>
      <c r="H32" s="11">
        <f>+TABACAL!E50</f>
        <v>271603</v>
      </c>
    </row>
  </sheetData>
  <mergeCells count="24">
    <mergeCell ref="A14:B14"/>
    <mergeCell ref="C14:G14"/>
    <mergeCell ref="B6:E6"/>
    <mergeCell ref="B7:E7"/>
    <mergeCell ref="A8:G8"/>
    <mergeCell ref="A11:D11"/>
    <mergeCell ref="A12:D12"/>
    <mergeCell ref="A26:B26"/>
    <mergeCell ref="A15:C15"/>
    <mergeCell ref="A16:C16"/>
    <mergeCell ref="A17:C17"/>
    <mergeCell ref="A18:C18"/>
    <mergeCell ref="A19:C19"/>
    <mergeCell ref="A20:C20"/>
    <mergeCell ref="A21:C21"/>
    <mergeCell ref="A22:B22"/>
    <mergeCell ref="C22:G22"/>
    <mergeCell ref="A23:B23"/>
    <mergeCell ref="A24:B24"/>
    <mergeCell ref="A27:B27"/>
    <mergeCell ref="A28:B28"/>
    <mergeCell ref="A29:E29"/>
    <mergeCell ref="A30:G31"/>
    <mergeCell ref="A32:F32"/>
  </mergeCells>
  <pageMargins left="0.7" right="0.7" top="0.75" bottom="0.75" header="0.3" footer="0.3"/>
  <pageSetup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32"/>
  <sheetViews>
    <sheetView topLeftCell="A10" workbookViewId="0">
      <selection activeCell="H33" sqref="H33"/>
    </sheetView>
  </sheetViews>
  <sheetFormatPr baseColWidth="10" defaultRowHeight="15" x14ac:dyDescent="0.25"/>
  <cols>
    <col min="1" max="1" width="15.42578125" customWidth="1"/>
    <col min="2" max="2" width="18.42578125" customWidth="1"/>
    <col min="3" max="3" width="16.28515625" customWidth="1"/>
    <col min="4" max="4" width="13.140625" customWidth="1"/>
    <col min="5" max="5" width="13.42578125" customWidth="1"/>
    <col min="6" max="6" width="14.140625" bestFit="1" customWidth="1"/>
    <col min="7" max="7" width="12.5703125" bestFit="1" customWidth="1"/>
    <col min="8" max="8" width="14.140625" bestFit="1" customWidth="1"/>
  </cols>
  <sheetData>
    <row r="5" spans="1:7" ht="15.75" thickBot="1" x14ac:dyDescent="0.3"/>
    <row r="6" spans="1:7" ht="15.75" thickBot="1" x14ac:dyDescent="0.3">
      <c r="A6" s="12" t="s">
        <v>36</v>
      </c>
      <c r="B6" s="216" t="s">
        <v>37</v>
      </c>
      <c r="C6" s="216"/>
      <c r="D6" s="216"/>
      <c r="E6" s="216"/>
      <c r="F6" s="13" t="s">
        <v>38</v>
      </c>
      <c r="G6" s="14" t="s">
        <v>39</v>
      </c>
    </row>
    <row r="7" spans="1:7" ht="44.25" customHeight="1" x14ac:dyDescent="0.25">
      <c r="A7" s="15" t="s">
        <v>187</v>
      </c>
      <c r="B7" s="235" t="str">
        <f>+TABACAL!B51</f>
        <v>Suministro, transporte e instalación de lampara de emergencia led de 2,4 , chasis en Plástico, 1 metro de Cable encauchetado 3x14 AWG,clavija con polo a tierra.</v>
      </c>
      <c r="C7" s="235"/>
      <c r="D7" s="235"/>
      <c r="E7" s="235"/>
      <c r="F7" s="16" t="str">
        <f>+TABACAL!C43</f>
        <v>Unidad</v>
      </c>
      <c r="G7" s="53">
        <f>+TABACAL!D51</f>
        <v>6</v>
      </c>
    </row>
    <row r="8" spans="1:7" x14ac:dyDescent="0.25">
      <c r="A8" s="236"/>
      <c r="B8" s="233"/>
      <c r="C8" s="233"/>
      <c r="D8" s="233"/>
      <c r="E8" s="233"/>
      <c r="F8" s="233"/>
      <c r="G8" s="234"/>
    </row>
    <row r="9" spans="1:7" ht="15.75" thickBot="1" x14ac:dyDescent="0.3">
      <c r="A9" s="17" t="s">
        <v>40</v>
      </c>
      <c r="G9" s="18"/>
    </row>
    <row r="10" spans="1:7" ht="15.75" thickBot="1" x14ac:dyDescent="0.3">
      <c r="A10" s="19" t="s">
        <v>41</v>
      </c>
      <c r="G10" s="18"/>
    </row>
    <row r="11" spans="1:7" ht="15.75" thickBot="1" x14ac:dyDescent="0.3">
      <c r="A11" s="215" t="s">
        <v>37</v>
      </c>
      <c r="B11" s="216"/>
      <c r="C11" s="216"/>
      <c r="D11" s="216"/>
      <c r="E11" s="80" t="s">
        <v>119</v>
      </c>
      <c r="F11" s="80" t="s">
        <v>43</v>
      </c>
      <c r="G11" s="14" t="s">
        <v>44</v>
      </c>
    </row>
    <row r="12" spans="1:7" x14ac:dyDescent="0.25">
      <c r="A12" s="219" t="s">
        <v>60</v>
      </c>
      <c r="B12" s="220"/>
      <c r="C12" s="220"/>
      <c r="D12" s="220"/>
      <c r="E12" s="20"/>
      <c r="F12" s="21"/>
      <c r="G12" s="22">
        <f>0.05*G25</f>
        <v>1596.8928571428571</v>
      </c>
    </row>
    <row r="13" spans="1:7" ht="15.75" thickBot="1" x14ac:dyDescent="0.3">
      <c r="A13" s="23"/>
      <c r="F13" s="21" t="s">
        <v>45</v>
      </c>
      <c r="G13" s="22">
        <f>SUM(G12:G12)</f>
        <v>1596.8928571428571</v>
      </c>
    </row>
    <row r="14" spans="1:7" ht="15.75" thickBot="1" x14ac:dyDescent="0.3">
      <c r="A14" s="231" t="s">
        <v>46</v>
      </c>
      <c r="B14" s="232"/>
      <c r="C14" s="225"/>
      <c r="D14" s="225"/>
      <c r="E14" s="225"/>
      <c r="F14" s="225"/>
      <c r="G14" s="226"/>
    </row>
    <row r="15" spans="1:7" x14ac:dyDescent="0.25">
      <c r="A15" s="254" t="s">
        <v>37</v>
      </c>
      <c r="B15" s="255"/>
      <c r="C15" s="255"/>
      <c r="D15" s="44" t="s">
        <v>47</v>
      </c>
      <c r="E15" s="44" t="s">
        <v>3</v>
      </c>
      <c r="F15" s="44" t="s">
        <v>48</v>
      </c>
      <c r="G15" s="45" t="s">
        <v>44</v>
      </c>
    </row>
    <row r="16" spans="1:7" ht="37.5" customHeight="1" x14ac:dyDescent="0.25">
      <c r="A16" s="263" t="s">
        <v>293</v>
      </c>
      <c r="B16" s="263"/>
      <c r="C16" s="263"/>
      <c r="D16" s="86" t="s">
        <v>47</v>
      </c>
      <c r="E16" s="97">
        <v>1</v>
      </c>
      <c r="F16" s="92">
        <v>82026.903124999953</v>
      </c>
      <c r="G16" s="84">
        <f t="shared" ref="G16:G20" si="0">+F16*E16</f>
        <v>82026.903124999953</v>
      </c>
    </row>
    <row r="17" spans="1:10" x14ac:dyDescent="0.25">
      <c r="A17" s="263" t="s">
        <v>294</v>
      </c>
      <c r="B17" s="263"/>
      <c r="C17" s="263"/>
      <c r="D17" s="86" t="s">
        <v>19</v>
      </c>
      <c r="E17" s="97">
        <v>1</v>
      </c>
      <c r="F17" s="92">
        <v>5500</v>
      </c>
      <c r="G17" s="84">
        <f t="shared" si="0"/>
        <v>5500</v>
      </c>
    </row>
    <row r="18" spans="1:10" x14ac:dyDescent="0.25">
      <c r="A18" s="263" t="s">
        <v>290</v>
      </c>
      <c r="B18" s="263"/>
      <c r="C18" s="263"/>
      <c r="D18" s="86" t="s">
        <v>19</v>
      </c>
      <c r="E18" s="97">
        <v>1</v>
      </c>
      <c r="F18" s="43">
        <v>7500</v>
      </c>
      <c r="G18" s="84">
        <f t="shared" si="0"/>
        <v>7500</v>
      </c>
    </row>
    <row r="19" spans="1:10" x14ac:dyDescent="0.25">
      <c r="A19" s="263" t="s">
        <v>291</v>
      </c>
      <c r="B19" s="263"/>
      <c r="C19" s="263"/>
      <c r="D19" s="86" t="s">
        <v>47</v>
      </c>
      <c r="E19" s="97">
        <v>1</v>
      </c>
      <c r="F19" s="43">
        <v>9500</v>
      </c>
      <c r="G19" s="84">
        <f t="shared" si="0"/>
        <v>9500</v>
      </c>
    </row>
    <row r="20" spans="1:10" x14ac:dyDescent="0.25">
      <c r="A20" s="263" t="s">
        <v>282</v>
      </c>
      <c r="B20" s="263"/>
      <c r="C20" s="263"/>
      <c r="D20" s="86" t="s">
        <v>33</v>
      </c>
      <c r="E20" s="97">
        <v>1</v>
      </c>
      <c r="F20" s="43">
        <v>2573.346875000032</v>
      </c>
      <c r="G20" s="84">
        <f t="shared" si="0"/>
        <v>2573.346875000032</v>
      </c>
    </row>
    <row r="21" spans="1:10" x14ac:dyDescent="0.25">
      <c r="A21" s="220"/>
      <c r="B21" s="220"/>
      <c r="C21" s="220"/>
      <c r="D21" s="21"/>
      <c r="E21" s="48"/>
      <c r="F21" s="21" t="s">
        <v>45</v>
      </c>
      <c r="G21" s="46">
        <f>SUM(G16:G20)</f>
        <v>107100.24999999999</v>
      </c>
    </row>
    <row r="22" spans="1:10" ht="12.75" customHeight="1" thickBot="1" x14ac:dyDescent="0.3">
      <c r="A22" s="252" t="s">
        <v>49</v>
      </c>
      <c r="B22" s="253"/>
      <c r="C22" s="233"/>
      <c r="D22" s="233"/>
      <c r="E22" s="233"/>
      <c r="F22" s="233"/>
      <c r="G22" s="234"/>
      <c r="J22" s="76"/>
    </row>
    <row r="23" spans="1:10" ht="15.75" thickBot="1" x14ac:dyDescent="0.3">
      <c r="A23" s="215" t="s">
        <v>50</v>
      </c>
      <c r="B23" s="216"/>
      <c r="C23" s="13" t="s">
        <v>51</v>
      </c>
      <c r="D23" s="13" t="s">
        <v>52</v>
      </c>
      <c r="E23" s="13" t="s">
        <v>53</v>
      </c>
      <c r="F23" s="13" t="s">
        <v>54</v>
      </c>
      <c r="G23" s="14" t="s">
        <v>44</v>
      </c>
    </row>
    <row r="24" spans="1:10" x14ac:dyDescent="0.25">
      <c r="A24" s="230" t="str">
        <f>+'insumos-MO'!B43</f>
        <v>Cuadrilla de construcción 1*1</v>
      </c>
      <c r="B24" s="218"/>
      <c r="C24" s="29">
        <f>+'insumos-MO'!E43</f>
        <v>223565</v>
      </c>
      <c r="D24" s="24"/>
      <c r="E24" s="29">
        <f>+C24</f>
        <v>223565</v>
      </c>
      <c r="F24" s="25">
        <v>7</v>
      </c>
      <c r="G24" s="27">
        <f>+E24/F24</f>
        <v>31937.857142857141</v>
      </c>
    </row>
    <row r="25" spans="1:10" ht="15.75" thickBot="1" x14ac:dyDescent="0.3">
      <c r="A25" s="23"/>
      <c r="F25" s="21" t="s">
        <v>45</v>
      </c>
      <c r="G25" s="28">
        <f>SUM(G24)</f>
        <v>31937.857142857141</v>
      </c>
    </row>
    <row r="26" spans="1:10" ht="15.75" thickBot="1" x14ac:dyDescent="0.3">
      <c r="A26" s="213" t="s">
        <v>55</v>
      </c>
      <c r="B26" s="214"/>
      <c r="G26" s="18"/>
    </row>
    <row r="27" spans="1:10" ht="15.75" thickBot="1" x14ac:dyDescent="0.3">
      <c r="A27" s="215" t="s">
        <v>56</v>
      </c>
      <c r="B27" s="216"/>
      <c r="C27" s="30" t="s">
        <v>38</v>
      </c>
      <c r="D27" s="13" t="s">
        <v>39</v>
      </c>
      <c r="E27" s="31"/>
      <c r="F27" s="13" t="s">
        <v>205</v>
      </c>
      <c r="G27" s="14" t="s">
        <v>44</v>
      </c>
    </row>
    <row r="28" spans="1:10" x14ac:dyDescent="0.25">
      <c r="A28" s="219" t="s">
        <v>241</v>
      </c>
      <c r="B28" s="220"/>
      <c r="C28" s="21"/>
      <c r="D28" s="21"/>
      <c r="E28" s="21"/>
      <c r="F28" s="92"/>
      <c r="G28" s="90">
        <f>+F28*D28</f>
        <v>0</v>
      </c>
    </row>
    <row r="29" spans="1:10" ht="43.5" customHeight="1" x14ac:dyDescent="0.25">
      <c r="A29" s="221"/>
      <c r="B29" s="222"/>
      <c r="C29" s="222"/>
      <c r="D29" s="222"/>
      <c r="E29" s="223"/>
      <c r="F29" s="21" t="s">
        <v>45</v>
      </c>
      <c r="G29" s="95">
        <f>SUM(G28:G28)</f>
        <v>0</v>
      </c>
    </row>
    <row r="30" spans="1:10" x14ac:dyDescent="0.25">
      <c r="A30" s="224"/>
      <c r="B30" s="225"/>
      <c r="C30" s="225"/>
      <c r="D30" s="225"/>
      <c r="E30" s="225"/>
      <c r="F30" s="225"/>
      <c r="G30" s="226"/>
    </row>
    <row r="31" spans="1:10" ht="15.75" thickBot="1" x14ac:dyDescent="0.3">
      <c r="A31" s="227"/>
      <c r="B31" s="228"/>
      <c r="C31" s="228"/>
      <c r="D31" s="228"/>
      <c r="E31" s="228"/>
      <c r="F31" s="228"/>
      <c r="G31" s="229"/>
    </row>
    <row r="32" spans="1:10" ht="15.75" thickBot="1" x14ac:dyDescent="0.3">
      <c r="A32" s="210" t="s">
        <v>59</v>
      </c>
      <c r="B32" s="211"/>
      <c r="C32" s="211"/>
      <c r="D32" s="211"/>
      <c r="E32" s="211"/>
      <c r="F32" s="212"/>
      <c r="G32" s="47">
        <f>+G29+G25+G21+G13</f>
        <v>140635</v>
      </c>
      <c r="H32" s="99">
        <v>140635</v>
      </c>
    </row>
  </sheetData>
  <mergeCells count="24">
    <mergeCell ref="A14:B14"/>
    <mergeCell ref="C14:G14"/>
    <mergeCell ref="B6:E6"/>
    <mergeCell ref="B7:E7"/>
    <mergeCell ref="A8:G8"/>
    <mergeCell ref="A11:D11"/>
    <mergeCell ref="A12:D12"/>
    <mergeCell ref="A26:B26"/>
    <mergeCell ref="A15:C15"/>
    <mergeCell ref="A16:C16"/>
    <mergeCell ref="A17:C17"/>
    <mergeCell ref="A18:C18"/>
    <mergeCell ref="A19:C19"/>
    <mergeCell ref="A20:C20"/>
    <mergeCell ref="A21:C21"/>
    <mergeCell ref="A22:B22"/>
    <mergeCell ref="C22:G22"/>
    <mergeCell ref="A23:B23"/>
    <mergeCell ref="A24:B24"/>
    <mergeCell ref="A27:B27"/>
    <mergeCell ref="A28:B28"/>
    <mergeCell ref="A29:E29"/>
    <mergeCell ref="A30:G31"/>
    <mergeCell ref="A32:F3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1</vt:i4>
      </vt:variant>
    </vt:vector>
  </HeadingPairs>
  <TitlesOfParts>
    <vt:vector size="42" baseType="lpstr">
      <vt:lpstr>TABACAL</vt:lpstr>
      <vt:lpstr>DISCRIMINACION AU</vt:lpstr>
      <vt:lpstr>factor multiplicador</vt:lpstr>
      <vt:lpstr>inversion ambiental</vt:lpstr>
      <vt:lpstr>insumos-MO</vt:lpstr>
      <vt:lpstr>1.1 </vt:lpstr>
      <vt:lpstr>2,1</vt:lpstr>
      <vt:lpstr>2,2</vt:lpstr>
      <vt:lpstr>2,3</vt:lpstr>
      <vt:lpstr>2,4</vt:lpstr>
      <vt:lpstr>2,5</vt:lpstr>
      <vt:lpstr>3,1</vt:lpstr>
      <vt:lpstr>3,2</vt:lpstr>
      <vt:lpstr>3,3</vt:lpstr>
      <vt:lpstr>4,1</vt:lpstr>
      <vt:lpstr>4,2</vt:lpstr>
      <vt:lpstr>4,3</vt:lpstr>
      <vt:lpstr>5,1</vt:lpstr>
      <vt:lpstr>5,2</vt:lpstr>
      <vt:lpstr>5,3</vt:lpstr>
      <vt:lpstr>6,1</vt:lpstr>
      <vt:lpstr>6,2</vt:lpstr>
      <vt:lpstr>6,3</vt:lpstr>
      <vt:lpstr>6,4</vt:lpstr>
      <vt:lpstr>7,1</vt:lpstr>
      <vt:lpstr>7,2</vt:lpstr>
      <vt:lpstr>7,3</vt:lpstr>
      <vt:lpstr>7,4</vt:lpstr>
      <vt:lpstr>8.1.1</vt:lpstr>
      <vt:lpstr>8.1.2</vt:lpstr>
      <vt:lpstr>8.1.3</vt:lpstr>
      <vt:lpstr>8.1.4</vt:lpstr>
      <vt:lpstr>8.2.1</vt:lpstr>
      <vt:lpstr>8.3.1</vt:lpstr>
      <vt:lpstr>8.3.2</vt:lpstr>
      <vt:lpstr>8.3.3</vt:lpstr>
      <vt:lpstr>8.3.4</vt:lpstr>
      <vt:lpstr>8.3.5</vt:lpstr>
      <vt:lpstr>8.6.1</vt:lpstr>
      <vt:lpstr>8.6.2</vt:lpstr>
      <vt:lpstr>8.6.3</vt:lpstr>
      <vt:lpstr>TABACAL!Área_de_impresión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Giraldo</dc:creator>
  <cp:lastModifiedBy>Mariana Vasquez Estrada</cp:lastModifiedBy>
  <cp:lastPrinted>2023-02-02T19:31:46Z</cp:lastPrinted>
  <dcterms:created xsi:type="dcterms:W3CDTF">2018-12-28T14:02:08Z</dcterms:created>
  <dcterms:modified xsi:type="dcterms:W3CDTF">2023-09-15T14:25:10Z</dcterms:modified>
</cp:coreProperties>
</file>