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Liceth\Documents\01.ARCHIVOS LICETH\01.CONSULTORIAS\3.ALCALDIA VILLAMARIA\2.ACTIVIDADES\2023\1.Presupuestos\31.Placas Huellas_2023_600\02.Villarazo\"/>
    </mc:Choice>
  </mc:AlternateContent>
  <xr:revisionPtr revIDLastSave="0" documentId="13_ncr:1_{EE219EEE-A209-4CFA-B1A8-F83074793D41}" xr6:coauthVersionLast="47" xr6:coauthVersionMax="47" xr10:uidLastSave="{00000000-0000-0000-0000-000000000000}"/>
  <bookViews>
    <workbookView xWindow="-108" yWindow="-108" windowWidth="23256" windowHeight="12456" tabRatio="671" firstSheet="1" activeTab="2" xr2:uid="{00000000-000D-0000-FFFF-FFFF00000000}"/>
  </bookViews>
  <sheets>
    <sheet name="Presupuesto Final" sheetId="73" state="hidden" r:id="rId1"/>
    <sheet name="RESUMEN" sheetId="79" r:id="rId2"/>
    <sheet name="Presupuesto Final Veredas" sheetId="74" r:id="rId3"/>
    <sheet name="Memorias Cantidades" sheetId="58" state="hidden" r:id="rId4"/>
    <sheet name="Memorias Cantidades Veredas" sheetId="75" r:id="rId5"/>
    <sheet name="Item de Pago" sheetId="59" state="hidden" r:id="rId6"/>
    <sheet name="EQUIPO Y TRANSP." sheetId="33" state="hidden" r:id="rId7"/>
    <sheet name="A.P.U. OBRA" sheetId="77" r:id="rId8"/>
    <sheet name="Analisis AIU" sheetId="82" r:id="rId9"/>
    <sheet name="Factor Prestacional" sheetId="81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\b">[1]INSUMOS!#REF!</definedName>
    <definedName name="\i">[1]INSUMOS!#REF!</definedName>
    <definedName name="\m">[1]INSUMOS!#REF!</definedName>
    <definedName name="\r">[1]INSUMOS!#REF!</definedName>
    <definedName name="\t">[1]INSUMOS!#REF!</definedName>
    <definedName name="\x">[1]INSUMOS!#REF!</definedName>
    <definedName name="___EST12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aiu2">[2]AIU!$J$105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Key1" hidden="1">[1]INSUMOS!#REF!</definedName>
    <definedName name="_Order1" hidden="1">255</definedName>
    <definedName name="_Sort" hidden="1">[1]INSUMOS!#REF!</definedName>
    <definedName name="a">#REF!</definedName>
    <definedName name="ab">#REF!</definedName>
    <definedName name="Acero" localSheetId="8">#REF!</definedName>
    <definedName name="Acero">#REF!</definedName>
    <definedName name="Agregados" localSheetId="8">#REF!</definedName>
    <definedName name="Agregados">#REF!</definedName>
    <definedName name="ap">[3]Planilla!$D$58</definedName>
    <definedName name="Apar.Sanitarios" localSheetId="8">#REF!</definedName>
    <definedName name="Apar.Sanitarios">#REF!</definedName>
    <definedName name="_xlnm.Print_Area" localSheetId="7">'A.P.U. OBRA'!$B$2:$I$100</definedName>
    <definedName name="_xlnm.Print_Area" localSheetId="8">'Analisis AIU'!$A$1:$J$54</definedName>
    <definedName name="_xlnm.Print_Area" localSheetId="9">'Factor Prestacional'!$A$1:$D$99</definedName>
    <definedName name="_xlnm.Print_Area" localSheetId="0">'Presupuesto Final'!$B$2:$G$58</definedName>
    <definedName name="_xlnm.Print_Area" localSheetId="2">'Presupuesto Final Veredas'!$B$2:$G$37</definedName>
    <definedName name="_xlnm.Print_Area">#REF!</definedName>
    <definedName name="b">#REF!</definedName>
    <definedName name="BORDE1">#N/A</definedName>
    <definedName name="Carp.Aluminio" localSheetId="8">#REF!</definedName>
    <definedName name="Carp.Aluminio">#REF!</definedName>
    <definedName name="Carp.Metalica" localSheetId="8">#REF!</definedName>
    <definedName name="Carp.Metalica">#REF!</definedName>
    <definedName name="Cerrajeria" localSheetId="8">#REF!</definedName>
    <definedName name="Cerrajeria">#REF!</definedName>
    <definedName name="ciudad">[4]Insumos!$B$2:$B$2</definedName>
    <definedName name="Ciudades" localSheetId="8">#REF!</definedName>
    <definedName name="Ciudades">#REF!</definedName>
    <definedName name="Combustible" localSheetId="8">#REF!</definedName>
    <definedName name="Combustible">#REF!</definedName>
    <definedName name="Concretos" localSheetId="8">#REF!</definedName>
    <definedName name="Concretos">#REF!</definedName>
    <definedName name="_xlnm.Criteria">[1]INSUMOS!#REF!</definedName>
    <definedName name="Criterios_IM">[1]INSUMOS!#REF!</definedName>
    <definedName name="Cuadrillas" localSheetId="8">#REF!</definedName>
    <definedName name="Cuadrillas">#REF!</definedName>
    <definedName name="Cubierta" localSheetId="8">#REF!</definedName>
    <definedName name="Cubierta">#REF!</definedName>
    <definedName name="D">#REF!</definedName>
    <definedName name="Drywall" localSheetId="8">#REF!</definedName>
    <definedName name="Drywall">#REF!</definedName>
    <definedName name="e">#REF!</definedName>
    <definedName name="EQUI">[5]EQUIPO!$B$2:$B$36</definedName>
    <definedName name="EQUIPO_1">[5]EQUIPO!$B$2:$D$36</definedName>
    <definedName name="Equipos" localSheetId="8">#REF!</definedName>
    <definedName name="Equipos">#REF!</definedName>
    <definedName name="EquiposEspeciales" localSheetId="8">#REF!</definedName>
    <definedName name="EquiposEspeciales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'[6]COSTOS OFICINA'!#REF!</definedName>
    <definedName name="Excel_BuiltIn_Print_Titles_4">'[6]COSTOS CAMPAMENTO'!#REF!</definedName>
    <definedName name="Ferreteria" localSheetId="8">#REF!</definedName>
    <definedName name="Ferreteria">#REF!</definedName>
    <definedName name="Festivos">'[7]días habiles 2015'!$D$2:$D$21</definedName>
    <definedName name="Fin_de_semana">'[7]días habiles 2015'!$M$1:$M$2</definedName>
    <definedName name="Formaletas" localSheetId="8">#REF!</definedName>
    <definedName name="Formaletas">#REF!</definedName>
    <definedName name="Geosinteticos" localSheetId="8">#REF!</definedName>
    <definedName name="Geosinteticos">#REF!</definedName>
    <definedName name="Impermeabilizantes" localSheetId="8">#REF!</definedName>
    <definedName name="Impermeabilizantes">#REF!</definedName>
    <definedName name="Inst.Electricas" localSheetId="8">#REF!</definedName>
    <definedName name="Inst.Electricas">#REF!</definedName>
    <definedName name="Inst.Hidrosanitarias" localSheetId="8">#REF!</definedName>
    <definedName name="Inst.Hidrosanitarias">#REF!</definedName>
    <definedName name="INSUMOS" localSheetId="8">[8]INSUMOS!$A$1:$A$859</definedName>
    <definedName name="INSUMOS">[9]INSUMOS!$A$1:$A$859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adrillos" localSheetId="8">#REF!</definedName>
    <definedName name="Ladrillos">#REF!</definedName>
    <definedName name="mac">#REF!</definedName>
    <definedName name="Maderas" localSheetId="8">#REF!</definedName>
    <definedName name="Maderas">#REF!</definedName>
    <definedName name="MATER">[5]MATERIAL!$B$3:$B$580</definedName>
    <definedName name="MATERIALES">[5]MATERIAL!$B$2:$D$580</definedName>
    <definedName name="o">[3]Planilla!$C$60</definedName>
    <definedName name="op">[3]Planilla!$D$60</definedName>
    <definedName name="Pinturas" localSheetId="8">#REF!</definedName>
    <definedName name="Pinturas">#REF!</definedName>
    <definedName name="PisosEnchapes" localSheetId="8">#REF!</definedName>
    <definedName name="PisosEnchapes">#REF!</definedName>
    <definedName name="Prefabricados" localSheetId="8">#REF!</definedName>
    <definedName name="Prefabricados">#REF!</definedName>
    <definedName name="prueba">#REF!</definedName>
    <definedName name="Q">#REF!</definedName>
    <definedName name="rfref">#REF!</definedName>
    <definedName name="S">#REF!</definedName>
    <definedName name="sdf">#REF!</definedName>
    <definedName name="Unidades">[10]Presup_Cancha!$J$14:$J$18</definedName>
    <definedName name="v">#REF!</definedName>
    <definedName name="VariosAnalisis" localSheetId="8">#REF!</definedName>
    <definedName name="VariosAnalisis">#REF!</definedName>
    <definedName name="WSERWEER">'[6]COSTOS OFICINA'!#REF!</definedName>
    <definedName name="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9" i="75" l="1"/>
  <c r="D120" i="75"/>
  <c r="E54" i="75"/>
  <c r="F33" i="75"/>
  <c r="H33" i="75"/>
  <c r="J33" i="75"/>
  <c r="I119" i="75" l="1"/>
  <c r="H122" i="75"/>
  <c r="G96" i="77"/>
  <c r="H121" i="75"/>
  <c r="E103" i="75"/>
  <c r="I102" i="75"/>
  <c r="I55" i="75"/>
  <c r="E90" i="75"/>
  <c r="D33" i="75"/>
  <c r="D34" i="75" s="1"/>
  <c r="D78" i="75" l="1"/>
  <c r="F120" i="75" l="1"/>
  <c r="H120" i="75" s="1"/>
  <c r="I111" i="75" l="1"/>
  <c r="E111" i="75"/>
  <c r="I103" i="75"/>
  <c r="E102" i="75"/>
  <c r="D102" i="75"/>
  <c r="G102" i="75" s="1"/>
  <c r="E78" i="75"/>
  <c r="F66" i="75"/>
  <c r="I67" i="75"/>
  <c r="F67" i="75"/>
  <c r="D67" i="75"/>
  <c r="E55" i="75"/>
  <c r="G55" i="75" s="1"/>
  <c r="D54" i="75"/>
  <c r="D66" i="75"/>
  <c r="H119" i="75"/>
  <c r="J119" i="75" s="1"/>
  <c r="D103" i="75" l="1"/>
  <c r="G78" i="75"/>
  <c r="J78" i="75" s="1"/>
  <c r="J83" i="75" s="1"/>
  <c r="E67" i="75"/>
  <c r="G54" i="75"/>
  <c r="J54" i="75" s="1"/>
  <c r="D35" i="75"/>
  <c r="F123" i="75" s="1"/>
  <c r="H123" i="75" s="1"/>
  <c r="J123" i="75" s="1"/>
  <c r="G145" i="75"/>
  <c r="G67" i="75"/>
  <c r="G59" i="77"/>
  <c r="I59" i="77" s="1"/>
  <c r="G42" i="77"/>
  <c r="I42" i="77" s="1"/>
  <c r="I41" i="77"/>
  <c r="G30" i="77"/>
  <c r="G31" i="77"/>
  <c r="G32" i="77" s="1"/>
  <c r="H32" i="77"/>
  <c r="H31" i="77"/>
  <c r="B12" i="74"/>
  <c r="B17" i="75"/>
  <c r="H92" i="77"/>
  <c r="I91" i="77"/>
  <c r="I121" i="75" l="1"/>
  <c r="G66" i="75"/>
  <c r="J66" i="75" s="1"/>
  <c r="D111" i="75"/>
  <c r="G111" i="75" s="1"/>
  <c r="J53" i="82"/>
  <c r="D49" i="82"/>
  <c r="H25" i="82"/>
  <c r="H24" i="82"/>
  <c r="H23" i="82"/>
  <c r="H18" i="82"/>
  <c r="H15" i="82"/>
  <c r="H14" i="82"/>
  <c r="H11" i="82"/>
  <c r="H10" i="82"/>
  <c r="H16" i="82"/>
  <c r="I97" i="77"/>
  <c r="I96" i="77"/>
  <c r="I95" i="77"/>
  <c r="I94" i="77"/>
  <c r="I93" i="77"/>
  <c r="I92" i="77"/>
  <c r="D79" i="81"/>
  <c r="D78" i="81"/>
  <c r="D83" i="81" s="1"/>
  <c r="I122" i="75" l="1"/>
  <c r="J122" i="75" s="1"/>
  <c r="J121" i="75"/>
  <c r="J111" i="75"/>
  <c r="J67" i="75"/>
  <c r="J71" i="75" s="1"/>
  <c r="H17" i="82"/>
  <c r="H19" i="82"/>
  <c r="H20" i="82"/>
  <c r="H21" i="82"/>
  <c r="H12" i="82"/>
  <c r="H13" i="82"/>
  <c r="H22" i="82"/>
  <c r="D89" i="81"/>
  <c r="D87" i="81"/>
  <c r="D86" i="81"/>
  <c r="D82" i="81"/>
  <c r="D85" i="81"/>
  <c r="D92" i="81"/>
  <c r="H46" i="77" s="1"/>
  <c r="D84" i="81"/>
  <c r="D90" i="81"/>
  <c r="H74" i="77" s="1"/>
  <c r="D88" i="81"/>
  <c r="D91" i="81"/>
  <c r="H30" i="77" l="1"/>
  <c r="H24" i="77"/>
  <c r="H37" i="77"/>
  <c r="H98" i="77"/>
  <c r="I98" i="77" s="1"/>
  <c r="I90" i="77" s="1"/>
  <c r="H83" i="77" s="1"/>
  <c r="H57" i="77"/>
  <c r="H66" i="77"/>
  <c r="H19" i="77"/>
  <c r="H88" i="77"/>
  <c r="H60" i="77"/>
  <c r="H76" i="77"/>
  <c r="I9" i="82"/>
  <c r="H51" i="77" l="1"/>
  <c r="B71" i="81"/>
  <c r="B70" i="81"/>
  <c r="C54" i="81"/>
  <c r="B58" i="81" s="1"/>
  <c r="C53" i="81"/>
  <c r="B68" i="81" s="1"/>
  <c r="C68" i="81" s="1"/>
  <c r="C30" i="81"/>
  <c r="B34" i="81" s="1"/>
  <c r="B29" i="81"/>
  <c r="B46" i="81" s="1"/>
  <c r="B22" i="81"/>
  <c r="B21" i="81"/>
  <c r="C21" i="81" s="1"/>
  <c r="C5" i="81"/>
  <c r="B9" i="81" s="1"/>
  <c r="C9" i="81" s="1"/>
  <c r="C4" i="81"/>
  <c r="C71" i="81" s="1"/>
  <c r="G7" i="79"/>
  <c r="H34" i="77"/>
  <c r="I34" i="77" s="1"/>
  <c r="I33" i="77"/>
  <c r="I15" i="77"/>
  <c r="D36" i="75"/>
  <c r="I82" i="77"/>
  <c r="I83" i="77"/>
  <c r="I84" i="77"/>
  <c r="I85" i="77"/>
  <c r="I86" i="77"/>
  <c r="I87" i="77"/>
  <c r="I88" i="77"/>
  <c r="I73" i="77"/>
  <c r="I74" i="77"/>
  <c r="I75" i="77"/>
  <c r="I76" i="77"/>
  <c r="I77" i="77"/>
  <c r="I78" i="77"/>
  <c r="I79" i="77"/>
  <c r="I65" i="77"/>
  <c r="I66" i="77"/>
  <c r="I67" i="77"/>
  <c r="I68" i="77"/>
  <c r="I69" i="77"/>
  <c r="I70" i="77"/>
  <c r="I56" i="77"/>
  <c r="I57" i="77"/>
  <c r="I58" i="77"/>
  <c r="I60" i="77"/>
  <c r="I61" i="77"/>
  <c r="I62" i="77"/>
  <c r="I45" i="77"/>
  <c r="I46" i="77"/>
  <c r="I47" i="77"/>
  <c r="I48" i="77"/>
  <c r="I49" i="77"/>
  <c r="I50" i="77"/>
  <c r="I51" i="77"/>
  <c r="I52" i="77"/>
  <c r="I53" i="77"/>
  <c r="I29" i="77"/>
  <c r="I30" i="77"/>
  <c r="I31" i="77"/>
  <c r="I32" i="77"/>
  <c r="I37" i="77"/>
  <c r="I38" i="77"/>
  <c r="I39" i="77"/>
  <c r="I40" i="77"/>
  <c r="I24" i="77"/>
  <c r="I25" i="77"/>
  <c r="I26" i="77"/>
  <c r="I19" i="77"/>
  <c r="I20" i="77"/>
  <c r="I21" i="77"/>
  <c r="I12" i="77"/>
  <c r="I13" i="77"/>
  <c r="I14" i="77"/>
  <c r="I16" i="77"/>
  <c r="I145" i="75"/>
  <c r="I136" i="75"/>
  <c r="I137" i="75"/>
  <c r="I120" i="75"/>
  <c r="J120" i="75" s="1"/>
  <c r="J129" i="75" s="1"/>
  <c r="G121" i="75"/>
  <c r="G103" i="75"/>
  <c r="J170" i="75"/>
  <c r="C142" i="75"/>
  <c r="J133" i="75"/>
  <c r="C133" i="75"/>
  <c r="J116" i="75"/>
  <c r="C116" i="75"/>
  <c r="J108" i="75"/>
  <c r="C108" i="75"/>
  <c r="B99" i="75"/>
  <c r="C99" i="75" s="1"/>
  <c r="B87" i="75"/>
  <c r="C87" i="75" s="1"/>
  <c r="B75" i="75"/>
  <c r="C75" i="75" s="1"/>
  <c r="J75" i="75"/>
  <c r="B63" i="75"/>
  <c r="J63" i="75" s="1"/>
  <c r="B51" i="75"/>
  <c r="J51" i="75" s="1"/>
  <c r="B43" i="75"/>
  <c r="C43" i="75" s="1"/>
  <c r="B46" i="75" s="1"/>
  <c r="B40" i="75"/>
  <c r="C40" i="75" s="1"/>
  <c r="I27" i="75"/>
  <c r="C27" i="75"/>
  <c r="I26" i="75"/>
  <c r="C26" i="75"/>
  <c r="I25" i="75"/>
  <c r="C25" i="75"/>
  <c r="I24" i="75"/>
  <c r="C24" i="75"/>
  <c r="I23" i="75"/>
  <c r="C23" i="75"/>
  <c r="I22" i="75"/>
  <c r="C22" i="75"/>
  <c r="I21" i="75"/>
  <c r="C21" i="75"/>
  <c r="I20" i="75"/>
  <c r="C20" i="75"/>
  <c r="I19" i="75"/>
  <c r="C19" i="75"/>
  <c r="I18" i="75"/>
  <c r="C18" i="75"/>
  <c r="C17" i="75"/>
  <c r="B13" i="74"/>
  <c r="C13" i="74" s="1"/>
  <c r="B14" i="74"/>
  <c r="D14" i="74" s="1"/>
  <c r="B15" i="74"/>
  <c r="C15" i="74" s="1"/>
  <c r="B16" i="74"/>
  <c r="D16" i="74" s="1"/>
  <c r="B17" i="74"/>
  <c r="C17" i="74" s="1"/>
  <c r="B18" i="74"/>
  <c r="D18" i="74" s="1"/>
  <c r="B19" i="74"/>
  <c r="D19" i="74" s="1"/>
  <c r="B20" i="74"/>
  <c r="D20" i="74" s="1"/>
  <c r="C12" i="74"/>
  <c r="C11" i="74"/>
  <c r="B11" i="74"/>
  <c r="B12" i="73"/>
  <c r="F12" i="73" s="1"/>
  <c r="G12" i="73"/>
  <c r="F38" i="58"/>
  <c r="J38" i="58" s="1"/>
  <c r="D38" i="58"/>
  <c r="D71" i="58" s="1"/>
  <c r="E38" i="58"/>
  <c r="E59" i="58" s="1"/>
  <c r="I59" i="58"/>
  <c r="E60" i="58"/>
  <c r="I60" i="58"/>
  <c r="H38" i="58"/>
  <c r="E61" i="58"/>
  <c r="I61" i="58"/>
  <c r="E62" i="58"/>
  <c r="I62" i="58"/>
  <c r="D63" i="58"/>
  <c r="E63" i="58"/>
  <c r="I63" i="58"/>
  <c r="B13" i="73"/>
  <c r="F13" i="73" s="1"/>
  <c r="I71" i="58"/>
  <c r="E72" i="58"/>
  <c r="I72" i="58"/>
  <c r="E73" i="58"/>
  <c r="I73" i="58"/>
  <c r="E74" i="58"/>
  <c r="I74" i="58"/>
  <c r="D75" i="58"/>
  <c r="G75" i="58" s="1"/>
  <c r="J75" i="58" s="1"/>
  <c r="E75" i="58"/>
  <c r="I75" i="58"/>
  <c r="B14" i="73"/>
  <c r="D14" i="73" s="1"/>
  <c r="I83" i="58"/>
  <c r="E84" i="58"/>
  <c r="I84" i="58"/>
  <c r="E85" i="58"/>
  <c r="I85" i="58"/>
  <c r="E86" i="58"/>
  <c r="I86" i="58"/>
  <c r="D87" i="58"/>
  <c r="E87" i="58"/>
  <c r="I87" i="58"/>
  <c r="B15" i="73"/>
  <c r="F15" i="73" s="1"/>
  <c r="I95" i="58"/>
  <c r="E96" i="58"/>
  <c r="I96" i="58"/>
  <c r="E97" i="58"/>
  <c r="I97" i="58"/>
  <c r="E98" i="58"/>
  <c r="I98" i="58"/>
  <c r="D99" i="58"/>
  <c r="G99" i="58" s="1"/>
  <c r="J99" i="58" s="1"/>
  <c r="E99" i="58"/>
  <c r="I99" i="58"/>
  <c r="B16" i="73"/>
  <c r="F16" i="73" s="1"/>
  <c r="I107" i="58"/>
  <c r="D108" i="58"/>
  <c r="E108" i="58"/>
  <c r="I108" i="58"/>
  <c r="B17" i="73"/>
  <c r="F17" i="73" s="1"/>
  <c r="E116" i="58"/>
  <c r="I116" i="58"/>
  <c r="B18" i="73"/>
  <c r="D18" i="73" s="1"/>
  <c r="I124" i="58"/>
  <c r="I125" i="58"/>
  <c r="G126" i="58"/>
  <c r="I126" i="58"/>
  <c r="G127" i="58"/>
  <c r="I127" i="58"/>
  <c r="G128" i="58"/>
  <c r="G129" i="58"/>
  <c r="G130" i="58"/>
  <c r="G131" i="58"/>
  <c r="G133" i="58" s="1"/>
  <c r="D132" i="58"/>
  <c r="H132" i="58" s="1"/>
  <c r="J132" i="58" s="1"/>
  <c r="G132" i="58"/>
  <c r="I132" i="58"/>
  <c r="I133" i="58"/>
  <c r="B19" i="73"/>
  <c r="D19" i="73" s="1"/>
  <c r="I141" i="58"/>
  <c r="I142" i="58"/>
  <c r="E143" i="58"/>
  <c r="I143" i="58"/>
  <c r="B20" i="73"/>
  <c r="I151" i="58"/>
  <c r="B21" i="73"/>
  <c r="C21" i="73" s="1"/>
  <c r="G161" i="58"/>
  <c r="J161" i="58" s="1"/>
  <c r="J162" i="58" s="1"/>
  <c r="J30" i="58" s="1"/>
  <c r="E24" i="73" s="1"/>
  <c r="B24" i="73"/>
  <c r="C24" i="73" s="1"/>
  <c r="F24" i="73"/>
  <c r="G169" i="58"/>
  <c r="I169" i="58"/>
  <c r="J169" i="58"/>
  <c r="G170" i="58"/>
  <c r="I170" i="58"/>
  <c r="G171" i="58"/>
  <c r="I171" i="58"/>
  <c r="G172" i="58"/>
  <c r="I172" i="58"/>
  <c r="G173" i="58"/>
  <c r="I173" i="58"/>
  <c r="J173" i="58"/>
  <c r="J174" i="58"/>
  <c r="B25" i="73"/>
  <c r="F25" i="73" s="1"/>
  <c r="H182" i="58"/>
  <c r="J182" i="58" s="1"/>
  <c r="I182" i="58"/>
  <c r="H183" i="58"/>
  <c r="I183" i="58"/>
  <c r="H184" i="58"/>
  <c r="J184" i="58" s="1"/>
  <c r="I184" i="58"/>
  <c r="H185" i="58"/>
  <c r="I185" i="58"/>
  <c r="H186" i="58"/>
  <c r="J186" i="58" s="1"/>
  <c r="I186" i="58"/>
  <c r="H187" i="58"/>
  <c r="I187" i="58"/>
  <c r="J187" i="58" s="1"/>
  <c r="H188" i="58"/>
  <c r="I188" i="58"/>
  <c r="J188" i="58" s="1"/>
  <c r="B26" i="73"/>
  <c r="F26" i="73" s="1"/>
  <c r="H196" i="58"/>
  <c r="J196" i="58" s="1"/>
  <c r="J197" i="58" s="1"/>
  <c r="J33" i="58" s="1"/>
  <c r="E27" i="73" s="1"/>
  <c r="B27" i="73"/>
  <c r="F27" i="73" s="1"/>
  <c r="B48" i="58"/>
  <c r="C48" i="58" s="1"/>
  <c r="B51" i="58" s="1"/>
  <c r="B193" i="58"/>
  <c r="C148" i="58"/>
  <c r="J148" i="58"/>
  <c r="J138" i="58"/>
  <c r="C138" i="58"/>
  <c r="J113" i="58"/>
  <c r="C113" i="58"/>
  <c r="C27" i="58"/>
  <c r="I27" i="58"/>
  <c r="C25" i="58"/>
  <c r="I25" i="58"/>
  <c r="C26" i="58"/>
  <c r="I26" i="58"/>
  <c r="C20" i="73"/>
  <c r="B29" i="58"/>
  <c r="C29" i="58" s="1"/>
  <c r="B179" i="58"/>
  <c r="C179" i="58" s="1"/>
  <c r="B166" i="58"/>
  <c r="J179" i="58"/>
  <c r="B158" i="58"/>
  <c r="J158" i="58" s="1"/>
  <c r="C158" i="58"/>
  <c r="C155" i="58"/>
  <c r="B45" i="58"/>
  <c r="C45" i="58" s="1"/>
  <c r="B104" i="58"/>
  <c r="J104" i="58" s="1"/>
  <c r="B92" i="58"/>
  <c r="J92" i="58" s="1"/>
  <c r="B80" i="58"/>
  <c r="J80" i="58" s="1"/>
  <c r="J121" i="58"/>
  <c r="C121" i="58"/>
  <c r="B68" i="58"/>
  <c r="C68" i="58" s="1"/>
  <c r="B56" i="58"/>
  <c r="J56" i="58" s="1"/>
  <c r="J48" i="58"/>
  <c r="C31" i="58"/>
  <c r="I31" i="58"/>
  <c r="B32" i="58"/>
  <c r="I32" i="58" s="1"/>
  <c r="C33" i="58"/>
  <c r="I33" i="58"/>
  <c r="B30" i="58"/>
  <c r="C30" i="58" s="1"/>
  <c r="I30" i="58"/>
  <c r="C19" i="58"/>
  <c r="I19" i="58"/>
  <c r="C20" i="58"/>
  <c r="I20" i="58"/>
  <c r="C21" i="58"/>
  <c r="I21" i="58"/>
  <c r="C22" i="58"/>
  <c r="I22" i="58"/>
  <c r="C23" i="58"/>
  <c r="I23" i="58"/>
  <c r="C24" i="58"/>
  <c r="I24" i="58"/>
  <c r="I18" i="58"/>
  <c r="B17" i="58"/>
  <c r="C17" i="58"/>
  <c r="C18" i="58"/>
  <c r="C25" i="73"/>
  <c r="D25" i="73"/>
  <c r="C26" i="73"/>
  <c r="C27" i="73"/>
  <c r="D27" i="73"/>
  <c r="D24" i="73"/>
  <c r="C23" i="73"/>
  <c r="B23" i="73"/>
  <c r="C11" i="73"/>
  <c r="B11" i="73"/>
  <c r="C13" i="73"/>
  <c r="D13" i="73"/>
  <c r="C14" i="73"/>
  <c r="C15" i="73"/>
  <c r="D15" i="73"/>
  <c r="C17" i="73"/>
  <c r="D12" i="73"/>
  <c r="C12" i="73"/>
  <c r="E31" i="33"/>
  <c r="E17" i="33"/>
  <c r="E13" i="33"/>
  <c r="E29" i="33"/>
  <c r="E16" i="33"/>
  <c r="E14" i="33"/>
  <c r="E40" i="33"/>
  <c r="E43" i="33"/>
  <c r="E36" i="33"/>
  <c r="D36" i="33"/>
  <c r="C36" i="33"/>
  <c r="D40" i="33"/>
  <c r="C40" i="33"/>
  <c r="D14" i="33"/>
  <c r="C14" i="33"/>
  <c r="C31" i="33"/>
  <c r="D16" i="33"/>
  <c r="C16" i="33"/>
  <c r="D29" i="33"/>
  <c r="D13" i="33"/>
  <c r="C29" i="33"/>
  <c r="C13" i="33"/>
  <c r="D17" i="33"/>
  <c r="C17" i="33"/>
  <c r="E41" i="33"/>
  <c r="J220" i="58"/>
  <c r="E24" i="33"/>
  <c r="D24" i="33"/>
  <c r="C24" i="33"/>
  <c r="E23" i="33"/>
  <c r="D23" i="33"/>
  <c r="C23" i="33"/>
  <c r="E22" i="33"/>
  <c r="D21" i="33"/>
  <c r="D22" i="33"/>
  <c r="C22" i="33"/>
  <c r="E21" i="33"/>
  <c r="C21" i="33"/>
  <c r="E25" i="33"/>
  <c r="D25" i="33"/>
  <c r="C25" i="33"/>
  <c r="E35" i="33"/>
  <c r="D35" i="33"/>
  <c r="C35" i="33"/>
  <c r="E34" i="33"/>
  <c r="D34" i="33"/>
  <c r="C34" i="33"/>
  <c r="E33" i="33"/>
  <c r="D33" i="33"/>
  <c r="C33" i="33"/>
  <c r="E32" i="33"/>
  <c r="D32" i="33"/>
  <c r="C32" i="33"/>
  <c r="D31" i="33"/>
  <c r="E30" i="33"/>
  <c r="D30" i="33"/>
  <c r="C30" i="33"/>
  <c r="E28" i="33"/>
  <c r="D28" i="33"/>
  <c r="C28" i="33"/>
  <c r="E27" i="33"/>
  <c r="D27" i="33"/>
  <c r="C27" i="33"/>
  <c r="E26" i="33"/>
  <c r="D26" i="33"/>
  <c r="C26" i="33"/>
  <c r="E20" i="33"/>
  <c r="D20" i="33"/>
  <c r="C20" i="33"/>
  <c r="E19" i="33"/>
  <c r="D19" i="33"/>
  <c r="C19" i="33"/>
  <c r="E18" i="33"/>
  <c r="D18" i="33"/>
  <c r="C18" i="33"/>
  <c r="E15" i="33"/>
  <c r="D15" i="33"/>
  <c r="C15" i="33"/>
  <c r="D15" i="74" l="1"/>
  <c r="C14" i="74"/>
  <c r="C20" i="74"/>
  <c r="C19" i="74"/>
  <c r="C16" i="74"/>
  <c r="C18" i="74"/>
  <c r="G27" i="73"/>
  <c r="J172" i="58"/>
  <c r="F21" i="73"/>
  <c r="D21" i="73"/>
  <c r="J183" i="58"/>
  <c r="J171" i="58"/>
  <c r="G63" i="58"/>
  <c r="J63" i="58" s="1"/>
  <c r="C22" i="81"/>
  <c r="J170" i="58"/>
  <c r="C80" i="58"/>
  <c r="J175" i="58"/>
  <c r="J31" i="58" s="1"/>
  <c r="E25" i="73" s="1"/>
  <c r="G25" i="73" s="1"/>
  <c r="G108" i="58"/>
  <c r="J108" i="58" s="1"/>
  <c r="C92" i="58"/>
  <c r="E83" i="58"/>
  <c r="C58" i="81"/>
  <c r="C32" i="58"/>
  <c r="B57" i="81"/>
  <c r="C104" i="58"/>
  <c r="E71" i="58"/>
  <c r="G71" i="58" s="1"/>
  <c r="J71" i="58" s="1"/>
  <c r="C18" i="73"/>
  <c r="D26" i="73"/>
  <c r="G24" i="73"/>
  <c r="D125" i="58"/>
  <c r="G87" i="58"/>
  <c r="J87" i="58" s="1"/>
  <c r="D39" i="58"/>
  <c r="D60" i="58" s="1"/>
  <c r="G60" i="58" s="1"/>
  <c r="J60" i="58" s="1"/>
  <c r="J99" i="75"/>
  <c r="C51" i="75"/>
  <c r="D46" i="75"/>
  <c r="G46" i="75" s="1"/>
  <c r="J46" i="75" s="1"/>
  <c r="J47" i="75" s="1"/>
  <c r="J103" i="75"/>
  <c r="J102" i="75"/>
  <c r="J112" i="75"/>
  <c r="J24" i="75" s="1"/>
  <c r="J55" i="75"/>
  <c r="J59" i="75" s="1"/>
  <c r="I18" i="77"/>
  <c r="F13" i="74" s="1"/>
  <c r="I11" i="77"/>
  <c r="F12" i="74" s="1"/>
  <c r="I36" i="77"/>
  <c r="F16" i="74" s="1"/>
  <c r="I44" i="77"/>
  <c r="I28" i="77"/>
  <c r="I23" i="77"/>
  <c r="F14" i="74" s="1"/>
  <c r="B61" i="81"/>
  <c r="C61" i="81" s="1"/>
  <c r="B13" i="81"/>
  <c r="C13" i="81" s="1"/>
  <c r="B62" i="81"/>
  <c r="C62" i="81" s="1"/>
  <c r="C29" i="81"/>
  <c r="B43" i="81" s="1"/>
  <c r="C43" i="81" s="1"/>
  <c r="B65" i="81"/>
  <c r="C65" i="81" s="1"/>
  <c r="B17" i="81"/>
  <c r="C17" i="81" s="1"/>
  <c r="B69" i="81"/>
  <c r="C69" i="81" s="1"/>
  <c r="C70" i="81"/>
  <c r="B10" i="81"/>
  <c r="B14" i="81"/>
  <c r="C14" i="81" s="1"/>
  <c r="B18" i="81"/>
  <c r="C18" i="81" s="1"/>
  <c r="C57" i="81"/>
  <c r="B66" i="81"/>
  <c r="C66" i="81" s="1"/>
  <c r="B15" i="81"/>
  <c r="C15" i="81" s="1"/>
  <c r="B19" i="81"/>
  <c r="C19" i="81" s="1"/>
  <c r="B35" i="81"/>
  <c r="B39" i="81"/>
  <c r="C39" i="81" s="1"/>
  <c r="B59" i="81"/>
  <c r="B63" i="81"/>
  <c r="C63" i="81" s="1"/>
  <c r="B67" i="81"/>
  <c r="C67" i="81" s="1"/>
  <c r="B8" i="81"/>
  <c r="B12" i="81"/>
  <c r="C12" i="81" s="1"/>
  <c r="B16" i="81"/>
  <c r="C16" i="81" s="1"/>
  <c r="B20" i="81"/>
  <c r="C20" i="81" s="1"/>
  <c r="B40" i="81"/>
  <c r="C40" i="81" s="1"/>
  <c r="B64" i="81"/>
  <c r="C64" i="81" s="1"/>
  <c r="D41" i="58"/>
  <c r="D51" i="58"/>
  <c r="G51" i="58" s="1"/>
  <c r="J51" i="58" s="1"/>
  <c r="J52" i="58" s="1"/>
  <c r="J18" i="58" s="1"/>
  <c r="D43" i="58"/>
  <c r="D40" i="58"/>
  <c r="D124" i="58"/>
  <c r="H124" i="58" s="1"/>
  <c r="J124" i="58" s="1"/>
  <c r="I72" i="77"/>
  <c r="D16" i="73"/>
  <c r="J68" i="58"/>
  <c r="C19" i="73"/>
  <c r="C16" i="73"/>
  <c r="C193" i="58"/>
  <c r="B196" i="58" s="1"/>
  <c r="J193" i="58"/>
  <c r="D59" i="58"/>
  <c r="G59" i="58" s="1"/>
  <c r="J59" i="58" s="1"/>
  <c r="D107" i="58"/>
  <c r="F125" i="58"/>
  <c r="D95" i="58"/>
  <c r="D83" i="58"/>
  <c r="G83" i="58" s="1"/>
  <c r="J83" i="58" s="1"/>
  <c r="I81" i="77"/>
  <c r="D20" i="73"/>
  <c r="F20" i="73"/>
  <c r="J185" i="58"/>
  <c r="J189" i="58" s="1"/>
  <c r="J32" i="58" s="1"/>
  <c r="E26" i="73" s="1"/>
  <c r="G26" i="73" s="1"/>
  <c r="F133" i="58"/>
  <c r="H133" i="58" s="1"/>
  <c r="J133" i="58" s="1"/>
  <c r="J166" i="58"/>
  <c r="C166" i="58"/>
  <c r="H125" i="58"/>
  <c r="J125" i="58" s="1"/>
  <c r="I55" i="77"/>
  <c r="C56" i="58"/>
  <c r="D96" i="58"/>
  <c r="G96" i="58" s="1"/>
  <c r="J96" i="58" s="1"/>
  <c r="D84" i="58"/>
  <c r="G84" i="58" s="1"/>
  <c r="J84" i="58" s="1"/>
  <c r="D72" i="58"/>
  <c r="G72" i="58" s="1"/>
  <c r="J72" i="58" s="1"/>
  <c r="D116" i="58"/>
  <c r="G116" i="58" s="1"/>
  <c r="J116" i="58" s="1"/>
  <c r="J117" i="58" s="1"/>
  <c r="J24" i="58" s="1"/>
  <c r="E18" i="73" s="1"/>
  <c r="G18" i="73" s="1"/>
  <c r="I64" i="77"/>
  <c r="D17" i="73"/>
  <c r="F19" i="73"/>
  <c r="D13" i="74"/>
  <c r="D17" i="74"/>
  <c r="J87" i="75"/>
  <c r="E95" i="58"/>
  <c r="C63" i="75"/>
  <c r="F18" i="73"/>
  <c r="E107" i="58"/>
  <c r="F14" i="73"/>
  <c r="D136" i="75" l="1"/>
  <c r="D90" i="75"/>
  <c r="G90" i="75" s="1"/>
  <c r="J90" i="75" s="1"/>
  <c r="J95" i="75" s="1"/>
  <c r="J104" i="75"/>
  <c r="E17" i="74" s="1"/>
  <c r="G23" i="73"/>
  <c r="J18" i="75"/>
  <c r="E12" i="74"/>
  <c r="G12" i="74" s="1"/>
  <c r="E18" i="74"/>
  <c r="F20" i="74"/>
  <c r="F17" i="74"/>
  <c r="F19" i="74"/>
  <c r="F18" i="74"/>
  <c r="B44" i="81"/>
  <c r="C44" i="81" s="1"/>
  <c r="B33" i="81"/>
  <c r="C33" i="81" s="1"/>
  <c r="B45" i="81"/>
  <c r="C45" i="81" s="1"/>
  <c r="B42" i="81"/>
  <c r="C42" i="81" s="1"/>
  <c r="B41" i="81"/>
  <c r="C41" i="81" s="1"/>
  <c r="B38" i="81"/>
  <c r="C38" i="81" s="1"/>
  <c r="B37" i="81"/>
  <c r="C37" i="81" s="1"/>
  <c r="C34" i="81"/>
  <c r="C46" i="81"/>
  <c r="B60" i="81"/>
  <c r="C60" i="81" s="1"/>
  <c r="C59" i="81"/>
  <c r="B36" i="81"/>
  <c r="C36" i="81" s="1"/>
  <c r="C35" i="81"/>
  <c r="B11" i="81"/>
  <c r="C11" i="81" s="1"/>
  <c r="C10" i="81"/>
  <c r="C8" i="81"/>
  <c r="G95" i="58"/>
  <c r="J95" i="58" s="1"/>
  <c r="D61" i="58"/>
  <c r="G61" i="58" s="1"/>
  <c r="J61" i="58" s="1"/>
  <c r="D97" i="58"/>
  <c r="G97" i="58" s="1"/>
  <c r="J97" i="58" s="1"/>
  <c r="D142" i="58"/>
  <c r="G142" i="58" s="1"/>
  <c r="J142" i="58" s="1"/>
  <c r="D73" i="58"/>
  <c r="G73" i="58" s="1"/>
  <c r="J73" i="58" s="1"/>
  <c r="D128" i="58"/>
  <c r="D143" i="58"/>
  <c r="G143" i="58" s="1"/>
  <c r="J143" i="58" s="1"/>
  <c r="D85" i="58"/>
  <c r="G85" i="58" s="1"/>
  <c r="J85" i="58" s="1"/>
  <c r="D151" i="58"/>
  <c r="G151" i="58" s="1"/>
  <c r="J151" i="58" s="1"/>
  <c r="J152" i="58" s="1"/>
  <c r="J27" i="58" s="1"/>
  <c r="E21" i="73" s="1"/>
  <c r="G21" i="73" s="1"/>
  <c r="D126" i="58"/>
  <c r="G107" i="58"/>
  <c r="J107" i="58" s="1"/>
  <c r="J109" i="58" s="1"/>
  <c r="J23" i="58" s="1"/>
  <c r="E17" i="73" s="1"/>
  <c r="G17" i="73" s="1"/>
  <c r="D98" i="58"/>
  <c r="G98" i="58" s="1"/>
  <c r="J98" i="58" s="1"/>
  <c r="D86" i="58"/>
  <c r="G86" i="58" s="1"/>
  <c r="J86" i="58" s="1"/>
  <c r="D74" i="58"/>
  <c r="G74" i="58" s="1"/>
  <c r="J74" i="58" s="1"/>
  <c r="D141" i="58"/>
  <c r="G141" i="58" s="1"/>
  <c r="J141" i="58" s="1"/>
  <c r="D130" i="58"/>
  <c r="D62" i="58"/>
  <c r="G62" i="58" s="1"/>
  <c r="J62" i="58" s="1"/>
  <c r="J145" i="75"/>
  <c r="J146" i="75" s="1"/>
  <c r="D137" i="75" l="1"/>
  <c r="G137" i="75" s="1"/>
  <c r="J137" i="75" s="1"/>
  <c r="G136" i="75"/>
  <c r="J136" i="75" s="1"/>
  <c r="J138" i="75" s="1"/>
  <c r="J88" i="58"/>
  <c r="J21" i="58" s="1"/>
  <c r="E15" i="73" s="1"/>
  <c r="G15" i="73" s="1"/>
  <c r="J76" i="58"/>
  <c r="J20" i="58" s="1"/>
  <c r="E14" i="73" s="1"/>
  <c r="G14" i="73" s="1"/>
  <c r="J64" i="58"/>
  <c r="J19" i="58" s="1"/>
  <c r="E13" i="73" s="1"/>
  <c r="G13" i="73" s="1"/>
  <c r="J23" i="75"/>
  <c r="G17" i="74"/>
  <c r="G18" i="74"/>
  <c r="C23" i="81"/>
  <c r="C47" i="81"/>
  <c r="C72" i="81"/>
  <c r="B23" i="81"/>
  <c r="B47" i="81"/>
  <c r="B72" i="81"/>
  <c r="J21" i="75"/>
  <c r="E15" i="74"/>
  <c r="G15" i="74" s="1"/>
  <c r="E14" i="74"/>
  <c r="G14" i="74" s="1"/>
  <c r="J20" i="75"/>
  <c r="E20" i="74"/>
  <c r="G20" i="74" s="1"/>
  <c r="J26" i="75"/>
  <c r="J100" i="58"/>
  <c r="J22" i="58" s="1"/>
  <c r="E16" i="73" s="1"/>
  <c r="G16" i="73" s="1"/>
  <c r="H130" i="58"/>
  <c r="J130" i="58" s="1"/>
  <c r="F131" i="58"/>
  <c r="H131" i="58" s="1"/>
  <c r="J131" i="58" s="1"/>
  <c r="F127" i="58"/>
  <c r="H127" i="58" s="1"/>
  <c r="J127" i="58" s="1"/>
  <c r="H126" i="58"/>
  <c r="J126" i="58" s="1"/>
  <c r="J144" i="58"/>
  <c r="J26" i="58" s="1"/>
  <c r="E20" i="73" s="1"/>
  <c r="G20" i="73" s="1"/>
  <c r="J27" i="75"/>
  <c r="H128" i="58"/>
  <c r="J128" i="58" s="1"/>
  <c r="F129" i="58"/>
  <c r="H129" i="58" s="1"/>
  <c r="J129" i="58" s="1"/>
  <c r="E16" i="74"/>
  <c r="G16" i="74" s="1"/>
  <c r="J22" i="75"/>
  <c r="E13" i="74"/>
  <c r="G13" i="74" s="1"/>
  <c r="J19" i="75"/>
  <c r="E19" i="74" l="1"/>
  <c r="J134" i="58"/>
  <c r="J25" i="58" s="1"/>
  <c r="E19" i="73" s="1"/>
  <c r="G19" i="73" s="1"/>
  <c r="G11" i="73" s="1"/>
  <c r="G29" i="73" s="1"/>
  <c r="G32" i="73" l="1"/>
  <c r="G33" i="73"/>
  <c r="G34" i="73"/>
  <c r="G19" i="74"/>
  <c r="J25" i="75"/>
  <c r="G11" i="74" l="1"/>
  <c r="G35" i="73"/>
  <c r="G37" i="73" s="1"/>
  <c r="G22" i="74" l="1"/>
  <c r="E3" i="82" s="1"/>
  <c r="G25" i="74" l="1"/>
  <c r="F41" i="82"/>
  <c r="F32" i="82"/>
  <c r="J12" i="82"/>
  <c r="J20" i="82"/>
  <c r="F35" i="82"/>
  <c r="J19" i="82"/>
  <c r="J25" i="82"/>
  <c r="F42" i="82"/>
  <c r="F49" i="82"/>
  <c r="J11" i="82"/>
  <c r="J18" i="82"/>
  <c r="J13" i="82"/>
  <c r="F46" i="82"/>
  <c r="F47" i="82"/>
  <c r="F37" i="82"/>
  <c r="F39" i="82"/>
  <c r="F48" i="82"/>
  <c r="J22" i="82"/>
  <c r="J24" i="82"/>
  <c r="J9" i="82"/>
  <c r="J8" i="82" s="1"/>
  <c r="J14" i="82"/>
  <c r="J10" i="82"/>
  <c r="J21" i="82"/>
  <c r="F36" i="82"/>
  <c r="F34" i="82"/>
  <c r="J15" i="82"/>
  <c r="J16" i="82"/>
  <c r="J23" i="82"/>
  <c r="J17" i="82"/>
  <c r="F45" i="82"/>
  <c r="F44" i="82"/>
  <c r="F43" i="82"/>
  <c r="F33" i="82"/>
  <c r="F38" i="82"/>
  <c r="G26" i="74"/>
  <c r="G27" i="74"/>
  <c r="G28" i="74" l="1"/>
  <c r="G30" i="74" s="1"/>
  <c r="G32" i="82"/>
  <c r="H32" i="82" s="1"/>
  <c r="G39" i="82"/>
  <c r="H39" i="82" s="1"/>
  <c r="J39" i="82" s="1"/>
  <c r="G36" i="82"/>
  <c r="H36" i="82" s="1"/>
  <c r="J36" i="82" s="1"/>
  <c r="G49" i="82"/>
  <c r="H49" i="82" s="1"/>
  <c r="J49" i="82" s="1"/>
  <c r="G33" i="82"/>
  <c r="H33" i="82" s="1"/>
  <c r="J33" i="82" s="1"/>
  <c r="G46" i="82"/>
  <c r="H46" i="82" s="1"/>
  <c r="J46" i="82" s="1"/>
  <c r="G38" i="82"/>
  <c r="H38" i="82" s="1"/>
  <c r="J38" i="82" s="1"/>
  <c r="G45" i="82"/>
  <c r="H45" i="82" s="1"/>
  <c r="J45" i="82" s="1"/>
  <c r="G47" i="82"/>
  <c r="H47" i="82" s="1"/>
  <c r="J47" i="82" s="1"/>
  <c r="G48" i="82"/>
  <c r="H48" i="82" s="1"/>
  <c r="J48" i="82" s="1"/>
  <c r="G34" i="82"/>
  <c r="H34" i="82" s="1"/>
  <c r="J34" i="82" s="1"/>
  <c r="G37" i="82"/>
  <c r="H37" i="82" s="1"/>
  <c r="J37" i="82" s="1"/>
  <c r="G43" i="82"/>
  <c r="H43" i="82" s="1"/>
  <c r="J43" i="82" s="1"/>
  <c r="G41" i="82"/>
  <c r="H41" i="82" s="1"/>
  <c r="G35" i="82"/>
  <c r="H35" i="82" s="1"/>
  <c r="J35" i="82" s="1"/>
  <c r="G42" i="82"/>
  <c r="H42" i="82" s="1"/>
  <c r="J42" i="82" s="1"/>
  <c r="G44" i="82"/>
  <c r="H44" i="82" s="1"/>
  <c r="J44" i="82" s="1"/>
  <c r="G29" i="82"/>
  <c r="H29" i="82" s="1"/>
  <c r="H28" i="82"/>
  <c r="J28" i="82" s="1"/>
  <c r="G30" i="82"/>
  <c r="H30" i="82" s="1"/>
  <c r="J30" i="82" s="1"/>
  <c r="G10" i="79" l="1"/>
  <c r="G12" i="79" s="1"/>
  <c r="J29" i="82"/>
  <c r="I27" i="82"/>
  <c r="I31" i="82"/>
  <c r="J31" i="82" s="1"/>
  <c r="J32" i="82"/>
  <c r="I40" i="82"/>
  <c r="J40" i="82" s="1"/>
  <c r="J41" i="82"/>
  <c r="I50" i="82" l="1"/>
  <c r="J27" i="82"/>
  <c r="J26" i="82" s="1"/>
  <c r="J50" i="82" l="1"/>
  <c r="J54" i="82" s="1"/>
  <c r="M27" i="82"/>
</calcChain>
</file>

<file path=xl/sharedStrings.xml><?xml version="1.0" encoding="utf-8"?>
<sst xmlns="http://schemas.openxmlformats.org/spreadsheetml/2006/main" count="1129" uniqueCount="449">
  <si>
    <t>TOTAL</t>
  </si>
  <si>
    <t>CANTIDAD</t>
  </si>
  <si>
    <t>EQUIPOS Y HERRAMIENTAS</t>
  </si>
  <si>
    <t>UNIDAD</t>
  </si>
  <si>
    <t>Cantidad</t>
  </si>
  <si>
    <t>EH</t>
  </si>
  <si>
    <t>EH-01</t>
  </si>
  <si>
    <t>EH-02</t>
  </si>
  <si>
    <t>EH-03</t>
  </si>
  <si>
    <t>EH-05</t>
  </si>
  <si>
    <t>EH-06</t>
  </si>
  <si>
    <t>EH-07</t>
  </si>
  <si>
    <t>EH-08</t>
  </si>
  <si>
    <t>HR</t>
  </si>
  <si>
    <t>Descripción</t>
  </si>
  <si>
    <t>Total</t>
  </si>
  <si>
    <t>Cuneta</t>
  </si>
  <si>
    <t>unidad</t>
  </si>
  <si>
    <t>EH-09</t>
  </si>
  <si>
    <t>EH-10</t>
  </si>
  <si>
    <t>EH-11</t>
  </si>
  <si>
    <t>EH-12</t>
  </si>
  <si>
    <t>Bordillo</t>
  </si>
  <si>
    <t>Cinta huella perimetral</t>
  </si>
  <si>
    <t>longitudinal</t>
  </si>
  <si>
    <t>transversal</t>
  </si>
  <si>
    <t xml:space="preserve"> longitudinal</t>
  </si>
  <si>
    <t>Longitud (m)</t>
  </si>
  <si>
    <t>Ancho (m)</t>
  </si>
  <si>
    <t>Área/lugar/elemento</t>
  </si>
  <si>
    <t>Precio guía</t>
  </si>
  <si>
    <t>Actividades</t>
  </si>
  <si>
    <t xml:space="preserve">Código </t>
  </si>
  <si>
    <t>Riostras</t>
  </si>
  <si>
    <t>Administración:</t>
  </si>
  <si>
    <t>Imprevistos:</t>
  </si>
  <si>
    <t>Utilidad:</t>
  </si>
  <si>
    <t>UND</t>
  </si>
  <si>
    <t>EH-04</t>
  </si>
  <si>
    <t>EH-13</t>
  </si>
  <si>
    <t>EH-14</t>
  </si>
  <si>
    <t>EH-15</t>
  </si>
  <si>
    <t>EH-16</t>
  </si>
  <si>
    <t>EH-17</t>
  </si>
  <si>
    <t>EH-18</t>
  </si>
  <si>
    <t>EH-19</t>
  </si>
  <si>
    <t>EH-20</t>
  </si>
  <si>
    <t>EH-21</t>
  </si>
  <si>
    <t>KG</t>
  </si>
  <si>
    <t>PLASTOCRETE DM DE SIKA IMPERMEABILIZANTE PARA CONCRETOS O SIMILAR.</t>
  </si>
  <si>
    <t>M</t>
  </si>
  <si>
    <t>ML</t>
  </si>
  <si>
    <t>M3</t>
  </si>
  <si>
    <t>I37</t>
  </si>
  <si>
    <t>PIEDRA DE MANO</t>
  </si>
  <si>
    <t>I50</t>
  </si>
  <si>
    <t>AFIRMADO NORMA INVIAS</t>
  </si>
  <si>
    <t>PUNTILLA CON CABEZA 1"</t>
  </si>
  <si>
    <t>LB</t>
  </si>
  <si>
    <t>I425</t>
  </si>
  <si>
    <t>PUNTILLA CON CABEZA 2"</t>
  </si>
  <si>
    <t>ADITIVO PARA CURAR EL CONCRETO</t>
  </si>
  <si>
    <t>LISTON 2 X 4</t>
  </si>
  <si>
    <t>TABLA CHAPA ORDINARIO 30 CM X 2 CM X 3 M.</t>
  </si>
  <si>
    <t>TABLA 1"X10"X3M</t>
  </si>
  <si>
    <t>DIA</t>
  </si>
  <si>
    <t>I1565</t>
  </si>
  <si>
    <t>ACARREO INTERNO</t>
  </si>
  <si>
    <t>VJE</t>
  </si>
  <si>
    <t>Herramienta</t>
  </si>
  <si>
    <t>H2</t>
  </si>
  <si>
    <t>EQUIPO BASICO (HERRAMIENTA MENOR)</t>
  </si>
  <si>
    <t>Equipos</t>
  </si>
  <si>
    <t>EQUIPO DE TRANSPORTE</t>
  </si>
  <si>
    <t>VIBRADOR A GASOLINA</t>
  </si>
  <si>
    <t>E24</t>
  </si>
  <si>
    <t>VOLQUETA  6M3 (CARGUE A MANO)</t>
  </si>
  <si>
    <t>E37</t>
  </si>
  <si>
    <t>MOTOBOMBA DE 2" A GASOLINA</t>
  </si>
  <si>
    <t>E47</t>
  </si>
  <si>
    <t>VIBROCOMPACTADOR TIPO RANA</t>
  </si>
  <si>
    <t>FORMALETA SARDINEL DESDE 0.20 HASTA 0.60 M. DE ALTURA POR 2.00 M. DE LONGITUD</t>
  </si>
  <si>
    <t>Cuadrilla</t>
  </si>
  <si>
    <t>C15</t>
  </si>
  <si>
    <t>CUADRILLA AA TIPO 3 (1 OFICIAL + 3 AYUDANTE) (Albañileria)</t>
  </si>
  <si>
    <t>CUADRILLA AA TIPO 4 (1 OFICIAL + 4 AYUDANTE) (Albañileria)</t>
  </si>
  <si>
    <t>C29</t>
  </si>
  <si>
    <t>CUADRILLA AA TIPO 5 (1 OFICIAL + 5 AYUDANTE) (Albañileria)</t>
  </si>
  <si>
    <t>CONCRETO 3000 psi - 21 Mpa</t>
  </si>
  <si>
    <t>EH-22</t>
  </si>
  <si>
    <t>EH-23</t>
  </si>
  <si>
    <t>Cuadro de equipos y Transporte</t>
  </si>
  <si>
    <t>CONSTRUCCIÓN DE PLACAS HUELLAS</t>
  </si>
  <si>
    <t>HERRAMIENTA MENOR (% MANO DE OBRA)</t>
  </si>
  <si>
    <t>EH-24</t>
  </si>
  <si>
    <t>EH-25</t>
  </si>
  <si>
    <t>TRANSPORTE DE ACERO</t>
  </si>
  <si>
    <t>TKM</t>
  </si>
  <si>
    <t>TRANSPORTE DE PIEDRA</t>
  </si>
  <si>
    <t>CANT.</t>
  </si>
  <si>
    <t>EH-26</t>
  </si>
  <si>
    <t xml:space="preserve">TRANSPORTE DE AFIRMADO </t>
  </si>
  <si>
    <t>M3/Km</t>
  </si>
  <si>
    <t>TRANSPORTE MATERIAL DE EXCAVACION</t>
  </si>
  <si>
    <t>EH-27</t>
  </si>
  <si>
    <t>EH-28</t>
  </si>
  <si>
    <t>Excavación manual 4,5 m * 2,1 m * 1,6 m para cabezales</t>
  </si>
  <si>
    <t xml:space="preserve">CONSTRUCCIÓN DE OBRAS DE DRENAJE CON TUBERÍA Y CABEZALES </t>
  </si>
  <si>
    <t>Concreto aletas</t>
  </si>
  <si>
    <t>Concreto muro</t>
  </si>
  <si>
    <t>Concreto placa</t>
  </si>
  <si>
    <t>Concreto viga</t>
  </si>
  <si>
    <t>CONSTRUCCIÓN DE PLACAS HUELLA EN VÍAS TERCIARIAS
DEL MUNICIPIO DE VILLAMARÍA, DEPARTAMENTO DE CALDAS.</t>
  </si>
  <si>
    <t xml:space="preserve">VALOR TOTAL EN LETRAS: </t>
  </si>
  <si>
    <t>MUNICIPIO:</t>
  </si>
  <si>
    <t>ID PROYECTO:</t>
  </si>
  <si>
    <t>DURACIÓN DEL PROYECTO EN MESES:</t>
  </si>
  <si>
    <t>Item pago</t>
  </si>
  <si>
    <t>DESCRIPCIÓN</t>
  </si>
  <si>
    <t>UNID.</t>
  </si>
  <si>
    <t>Espesor</t>
  </si>
  <si>
    <t>Vr. Parcial</t>
  </si>
  <si>
    <t>No. de
Elemenstos</t>
  </si>
  <si>
    <t>No. Varillas</t>
  </si>
  <si>
    <t>Peso (Kg)</t>
  </si>
  <si>
    <t>Piso</t>
  </si>
  <si>
    <t>Aletas</t>
  </si>
  <si>
    <t xml:space="preserve">Descuento área tubo </t>
  </si>
  <si>
    <t>MEDIDA</t>
  </si>
  <si>
    <t>U.M.</t>
  </si>
  <si>
    <t>Item de Pago</t>
  </si>
  <si>
    <t>TOTAL COSTO DIRECTO:</t>
  </si>
  <si>
    <t>TOTAL COSTO INDIRECTO:</t>
  </si>
  <si>
    <t>Elaboró: ________________________________</t>
  </si>
  <si>
    <t xml:space="preserve">                Ing. Lady Johanna Quintero Osorio</t>
  </si>
  <si>
    <t>Revisó: ________________________________</t>
  </si>
  <si>
    <t xml:space="preserve">              Arq. Estefanía Delgado Osorio</t>
  </si>
  <si>
    <t xml:space="preserve">              Secretaría de Infraestructura y Vias</t>
  </si>
  <si>
    <t xml:space="preserve">              Alcandia de Villamaría, Caldas</t>
  </si>
  <si>
    <t xml:space="preserve">                Apoyo Técnico</t>
  </si>
  <si>
    <t xml:space="preserve">                Secretaría de Infraestructura y Vias</t>
  </si>
  <si>
    <t>EH-29</t>
  </si>
  <si>
    <t>EH-30</t>
  </si>
  <si>
    <t>% M.O</t>
  </si>
  <si>
    <t>EH-31</t>
  </si>
  <si>
    <t>1</t>
  </si>
  <si>
    <t>2</t>
  </si>
  <si>
    <t>CODIGO</t>
  </si>
  <si>
    <t>INSUMO</t>
  </si>
  <si>
    <t>REND</t>
  </si>
  <si>
    <t>Insumo</t>
  </si>
  <si>
    <t>Analisis</t>
  </si>
  <si>
    <t>RETIRO DE MATERIAL SOBRANTE EN VOLQUETA, CARGUE MANUAL</t>
  </si>
  <si>
    <t>CONFORMACIÓN DE LA SUBRASANTE</t>
  </si>
  <si>
    <t>AFIRMADO COMPACTADO PARA ESTRUCTURAS</t>
  </si>
  <si>
    <t>CONCRETO CICLÓPEO ESPESOR 0,15 M (60% CONCRETO 3000 PSI Y 40% PIEDRA DE MANO)</t>
  </si>
  <si>
    <t>PRESUPUESTO DE OBRA</t>
  </si>
  <si>
    <t>Fecha:</t>
  </si>
  <si>
    <t>Und</t>
  </si>
  <si>
    <t>Valor Unitario</t>
  </si>
  <si>
    <t>Valor Total</t>
  </si>
  <si>
    <t>COSTOS DIRECTOS</t>
  </si>
  <si>
    <t>COSTOS INDIRECTOS</t>
  </si>
  <si>
    <t>TOTAL PRESUPUESTO (APROXIMADO AL PESO):</t>
  </si>
  <si>
    <r>
      <rPr>
        <b/>
        <sz val="9"/>
        <rFont val="Arial"/>
        <family val="2"/>
      </rPr>
      <t xml:space="preserve">NOTA 1: </t>
    </r>
    <r>
      <rPr>
        <sz val="9"/>
        <rFont val="Arial"/>
        <family val="2"/>
      </rPr>
      <t xml:space="preserve">Todas las actividades de este presupuesto, incluyen el suministro, transporte e instalación de cada uno de los materiales. </t>
    </r>
    <r>
      <rPr>
        <b/>
        <sz val="9"/>
        <rFont val="Arial"/>
        <family val="2"/>
      </rPr>
      <t xml:space="preserve">
NOTA 2:</t>
    </r>
    <r>
      <rPr>
        <sz val="9"/>
        <rFont val="Arial"/>
        <family val="2"/>
      </rPr>
      <t xml:space="preserve"> Se debe tener en cuenta que el PRECIO UNITARIO incluye el valor del IVA (19%).</t>
    </r>
  </si>
  <si>
    <r>
      <rPr>
        <b/>
        <sz val="9"/>
        <rFont val="Arial"/>
        <family val="2"/>
      </rPr>
      <t>NOTA 3:</t>
    </r>
    <r>
      <rPr>
        <sz val="9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</si>
  <si>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9"/>
        <rFont val="Arial"/>
        <family val="2"/>
      </rPr>
      <t xml:space="preserve">NOTA 4: </t>
    </r>
    <r>
      <rPr>
        <sz val="9"/>
        <rFont val="Arial"/>
        <family val="2"/>
      </rPr>
      <t xml:space="preserve"> El reconocimiento económico de los requerimientos  ambientales exigidos  por las autoridades ambientales, y/o sociales que son de obligatorio cumplimiento, serán reconocidos a cargo de reembolso de gastos (afectados por un % de administracion).</t>
    </r>
    <r>
      <rPr>
        <b/>
        <sz val="9"/>
        <rFont val="Arial"/>
        <family val="2"/>
      </rPr>
      <t xml:space="preserve">(Ajustar de acuerdo al proyecto) </t>
    </r>
  </si>
  <si>
    <r>
      <t xml:space="preserve">NOTA 5:  </t>
    </r>
    <r>
      <rPr>
        <sz val="9"/>
        <rFont val="Arial"/>
        <family val="2"/>
      </rPr>
      <t>El control de tráfico temporal y la señalización provisional necesarios para la ejecución de las obras será por cuenta y riesgo del contratista.</t>
    </r>
  </si>
  <si>
    <r>
      <t xml:space="preserve">NOTA 6:  </t>
    </r>
    <r>
      <rPr>
        <sz val="9"/>
        <rFont val="Arial"/>
        <family val="2"/>
      </rPr>
      <t>De acuerdo a la vereda, existen diferentes fuentes de materiales, las cuales serán reconocidas durante visita de campo realizada al sitio, como parte del proceso precontractual.</t>
    </r>
  </si>
  <si>
    <t>Revisó: _______________________________</t>
  </si>
  <si>
    <t xml:space="preserve">              Alcaldia de Villamaría, Caldas</t>
  </si>
  <si>
    <t>VEREDA EL AVIÓN, MUNICIPIO DE VILLAMARÍA - CALDAS</t>
  </si>
  <si>
    <t>ITEMS DE PAGO</t>
  </si>
  <si>
    <t xml:space="preserve">                Ing. Lady Johanna Quintero Osorio                                                                                      </t>
  </si>
  <si>
    <t xml:space="preserve">                Apoyo Técnico                                                                                                                          </t>
  </si>
  <si>
    <t>Elaboró:   _________________________________</t>
  </si>
  <si>
    <t>Revisó:   _______________________________</t>
  </si>
  <si>
    <t xml:space="preserve">              Secretaria de Infraestructura y Vias</t>
  </si>
  <si>
    <t xml:space="preserve">   Alcaldia de Villamaría, Caldas</t>
  </si>
  <si>
    <t>EXCAVACIÓN MANUAL PARA ESTRUCTURAS - MATERIAL COMÚN - 0.0 A 2.0 M</t>
  </si>
  <si>
    <t>EXCAVACIÓN MANUAL 4,5 M * 2,1 M * 1,6 M PARA CABEZALES</t>
  </si>
  <si>
    <t>CONCRETO RESISTENCIA 140 KG/CM² (2.000 PSI) PARA SOLADOS EN MUROS Y CABEZALES</t>
  </si>
  <si>
    <t>TUBERÍA DE DIÁMETRO (36" = 0,9 M) UNA POR CADA 100 M PARA ALCANTARILLAS</t>
  </si>
  <si>
    <t>ACERO DE REFUERZO 4.200 KG/CM²  (60.000 PSI) PARA PLACAS Y RIOSTRAS. (INCLUYE ALAMBRE NEGRO Y FIGURACION)</t>
  </si>
  <si>
    <t>CABEZAL DE ENTREGA DE AGUAS LLUVIAS EN CONCRETO DE 3000 PSI  250 mm (10"). (Incluye acero de refuerzo )</t>
  </si>
  <si>
    <t>METRO CÚBICO</t>
  </si>
  <si>
    <t>METRO LINEAL</t>
  </si>
  <si>
    <t>METRO CUADRADO</t>
  </si>
  <si>
    <t>KILOGRAMO</t>
  </si>
  <si>
    <t xml:space="preserve">                Secretaría de Infraestructura y Vias                                                                                   </t>
  </si>
  <si>
    <t>Arq. Estefanía Delgado Osorio</t>
  </si>
  <si>
    <t>MEMORIA DE CÁLCULO</t>
  </si>
  <si>
    <t>DOS (2) Meses</t>
  </si>
  <si>
    <t>RESUMEN MEMORIA DE CÁLCULO</t>
  </si>
  <si>
    <t>MEMORIAS DE CÁLCULO</t>
  </si>
  <si>
    <t>VEREDA EL AVIÓN,
MUNICIPIO DE VILLAMARÍA - CALDAS</t>
  </si>
  <si>
    <t>REFERENCIA</t>
  </si>
  <si>
    <t>LONGITUD</t>
  </si>
  <si>
    <t>ANCHO</t>
  </si>
  <si>
    <t>ITEM DE PAGO</t>
  </si>
  <si>
    <t>66 Riostras de
0,20 m de ancho</t>
  </si>
  <si>
    <t>Longitud
Total</t>
  </si>
  <si>
    <t>LOCALIZACIÓN Y REPLANTEO</t>
  </si>
  <si>
    <t>SARDINEL ANCHO = 20 CM H =  ENTRE  17 Y 24 CM  EN CONCRETO 3000 PSI</t>
  </si>
  <si>
    <r>
      <t>M</t>
    </r>
    <r>
      <rPr>
        <vertAlign val="superscript"/>
        <sz val="10"/>
        <rFont val="Calibri"/>
        <family val="2"/>
        <scheme val="minor"/>
      </rPr>
      <t>2</t>
    </r>
  </si>
  <si>
    <r>
      <t>M</t>
    </r>
    <r>
      <rPr>
        <vertAlign val="superscript"/>
        <sz val="10"/>
        <rFont val="Calibri"/>
        <family val="2"/>
        <scheme val="minor"/>
      </rPr>
      <t>3</t>
    </r>
  </si>
  <si>
    <t>CONCRETO DE 210 KG/CM² (3.000 PSI), ESPESOR 0,15 M - PLACAS HUELLAS Y VIGAS RIOSTRAS</t>
  </si>
  <si>
    <t>Cinta huella central (Ciclópeo)</t>
  </si>
  <si>
    <t>Sardinel</t>
  </si>
  <si>
    <t>Gancho</t>
  </si>
  <si>
    <t>CUNETA Y BORDILLO PARA VÍA VEHICULAR CONCRETO CLASE II PRODUCIDO EN OBRA</t>
  </si>
  <si>
    <t>Alto (m)</t>
  </si>
  <si>
    <t>52 Placas Huellas
de 2,50 m</t>
  </si>
  <si>
    <t>CIENTO CINCUENTA Y CINCO MILLONES, CIENTO SETENTA Y CUATRO MIL,
QUINIENTOS NOVENTA Y NUEVE PESOS M/CTE.</t>
  </si>
  <si>
    <t>VEREDA SANTO DOMINGO, MUNICIPIO DE VILLAMARÍA - CALDAS</t>
  </si>
  <si>
    <t>ANÁLISIS DE PRECIOS UNITARIOS</t>
  </si>
  <si>
    <t>COD. 
INSUMO</t>
  </si>
  <si>
    <t>UNITARIO
(Iva Incluido)</t>
  </si>
  <si>
    <t>PRELIMINARES</t>
  </si>
  <si>
    <t>m3</t>
  </si>
  <si>
    <t>m2</t>
  </si>
  <si>
    <t>M03</t>
  </si>
  <si>
    <t>EQUIPO BASICO ( HERRAMIENTA MENOR )</t>
  </si>
  <si>
    <t>und</t>
  </si>
  <si>
    <t>Mano de Obra</t>
  </si>
  <si>
    <t>hr</t>
  </si>
  <si>
    <t>I26</t>
  </si>
  <si>
    <t>M18</t>
  </si>
  <si>
    <t>Equipo</t>
  </si>
  <si>
    <t>dia</t>
  </si>
  <si>
    <t>kg</t>
  </si>
  <si>
    <t>PINTURA ACRILICA PARA TRAFICO TIPO PINTUCO (PINTUTRÁFICO) O SIMILAR - COLORES: BLANCO, AMARILLO O NEGRO SEGÚN DISEÑO.</t>
  </si>
  <si>
    <t>COMISION TOPOGRAFICA (INCLUYE TOPOGRAFO, CADENERO Y EQUIPO TOPOGRAFÍA (ESTACIÓN Y NIVEL)).</t>
  </si>
  <si>
    <t>LATA DE GUADUA</t>
  </si>
  <si>
    <r>
      <t>LOCALIZACION Y REPLANTEO VIAS.</t>
    </r>
    <r>
      <rPr>
        <b/>
        <sz val="12"/>
        <rFont val="Calibri"/>
        <family val="2"/>
      </rPr>
      <t xml:space="preserve"> INCLUYE PLANO RECORD</t>
    </r>
  </si>
  <si>
    <t>I1015</t>
  </si>
  <si>
    <t>GAL</t>
  </si>
  <si>
    <t>I1562</t>
  </si>
  <si>
    <t>I998</t>
  </si>
  <si>
    <t>EXCAVACIÓN  PARA ESTRUCTURAS - MATERIAL COMÚN - 0.0 A 2.0 M</t>
  </si>
  <si>
    <t>Valor total</t>
  </si>
  <si>
    <t>1.</t>
  </si>
  <si>
    <t>2.</t>
  </si>
  <si>
    <t>COSTO TOTAL PROYECTO</t>
  </si>
  <si>
    <t>MUNICIPIO DE VILLAMARÍA, CALDAS</t>
  </si>
  <si>
    <t>I58</t>
  </si>
  <si>
    <t>W02</t>
  </si>
  <si>
    <t>m</t>
  </si>
  <si>
    <t>W16</t>
  </si>
  <si>
    <t>O15</t>
  </si>
  <si>
    <t>lb</t>
  </si>
  <si>
    <t>M06</t>
  </si>
  <si>
    <t>H21</t>
  </si>
  <si>
    <t>I44</t>
  </si>
  <si>
    <t>Z07</t>
  </si>
  <si>
    <t>I51</t>
  </si>
  <si>
    <t>A01</t>
  </si>
  <si>
    <t>ACERO 60.000 PSI</t>
  </si>
  <si>
    <t>A11</t>
  </si>
  <si>
    <t>ALAMBRE NEGRO NO. 18</t>
  </si>
  <si>
    <t>P05</t>
  </si>
  <si>
    <t>O31</t>
  </si>
  <si>
    <t>O75</t>
  </si>
  <si>
    <t>W45</t>
  </si>
  <si>
    <t>O14</t>
  </si>
  <si>
    <t>UN</t>
  </si>
  <si>
    <t>Meses</t>
  </si>
  <si>
    <t>%</t>
  </si>
  <si>
    <t>Mes</t>
  </si>
  <si>
    <t>Un</t>
  </si>
  <si>
    <t>CALCULO DEL FACTOR PRESTACIONAL PARA MAXIMO 2 SMMLV- PERSONAL EN OBRA</t>
  </si>
  <si>
    <t>MENSUAL BASE</t>
  </si>
  <si>
    <t>DIARIO</t>
  </si>
  <si>
    <t>SALARIO</t>
  </si>
  <si>
    <t>SUBSIDIO DE TRANSPORTE</t>
  </si>
  <si>
    <t>TEM</t>
  </si>
  <si>
    <t>Valor</t>
  </si>
  <si>
    <t>Porcentaje</t>
  </si>
  <si>
    <t>Formula</t>
  </si>
  <si>
    <t>Jornales</t>
  </si>
  <si>
    <t>$ 877,803/30</t>
  </si>
  <si>
    <t>Subsidio de Transporte</t>
  </si>
  <si>
    <t>$ 102,854/30</t>
  </si>
  <si>
    <t>Cesantías</t>
  </si>
  <si>
    <t>(Jornales + Subsidio Transporte)x30/360</t>
  </si>
  <si>
    <t>Intereses sobre Cesantías</t>
  </si>
  <si>
    <t>Cesantias *1%</t>
  </si>
  <si>
    <t>Prima de Servicio</t>
  </si>
  <si>
    <t>Vacaciones</t>
  </si>
  <si>
    <t>Jornal x 30/720</t>
  </si>
  <si>
    <t>Aportes Salud</t>
  </si>
  <si>
    <t>8,5% de los jornales</t>
  </si>
  <si>
    <t>Aportes Pensión</t>
  </si>
  <si>
    <t>12% de los jornales</t>
  </si>
  <si>
    <t>Riesgos Laborales</t>
  </si>
  <si>
    <t>6.96% de los jornales</t>
  </si>
  <si>
    <t>Caja de compensación</t>
  </si>
  <si>
    <t>4% de los Jornales</t>
  </si>
  <si>
    <t>Aporte SENA</t>
  </si>
  <si>
    <t>2% de los Jornales</t>
  </si>
  <si>
    <t>Aporte ICBF</t>
  </si>
  <si>
    <t>3% de los Jornales</t>
  </si>
  <si>
    <t>Examenes de ingreso y egreso</t>
  </si>
  <si>
    <t>Fondo Nacional de Formación Profesional de Industria de la construcción</t>
  </si>
  <si>
    <t>1 SMMLV por cada 40 trabajadores ((1 SMML*12)/40)/salario anual</t>
  </si>
  <si>
    <t>Dotación</t>
  </si>
  <si>
    <t>Tres dotaciones al año de $200,000 cada una</t>
  </si>
  <si>
    <t>CALCULO DEL FACTOR PRESTACIONAL PARA MAYOR A 2 SMMLV - PERSONAL EN OBRA</t>
  </si>
  <si>
    <t>CALCULO DEL FACTOR PRESTACIONAL PARA MAXIMO 2 SMMLV - PERSONAL ADMINISTRATIVO</t>
  </si>
  <si>
    <t>2.436% de los jornales</t>
  </si>
  <si>
    <t>CALCULO DE CUADRILLAS</t>
  </si>
  <si>
    <t>SALARIO OFICIAL DE ALBAÑILERIA</t>
  </si>
  <si>
    <t>F PRESTACION</t>
  </si>
  <si>
    <t>SALARIO AYUDANTE DE ALBAÑILERIA</t>
  </si>
  <si>
    <t>SALARIO MESNUAL</t>
  </si>
  <si>
    <t>CUADRILLA 1 OF + 1 AY</t>
  </si>
  <si>
    <t>CUADRILLAS</t>
  </si>
  <si>
    <t>OFICIAL</t>
  </si>
  <si>
    <t>AYUDANTES</t>
  </si>
  <si>
    <t>VR CUADRILLA x HORA</t>
  </si>
  <si>
    <t>CUADRILLA 1 OF + 2 AY</t>
  </si>
  <si>
    <t>CUADRILLA 1 OF + 3 AY</t>
  </si>
  <si>
    <t>CUADRILLA 1 OF + 4 AY</t>
  </si>
  <si>
    <t>CUADRILLA 1 OF + 5 AY</t>
  </si>
  <si>
    <t>CUADRILLA 1 OF + 6 AY</t>
  </si>
  <si>
    <t>CUADRILLA 2 OF + 2 AY</t>
  </si>
  <si>
    <t>CUADRILLA 2 OF + 3 AY</t>
  </si>
  <si>
    <t>CUADRILLA 2 OF + 4 AY</t>
  </si>
  <si>
    <t>CUADRILLA 2 OF + 5 AY</t>
  </si>
  <si>
    <t>CUADRILLA 2 OF + 6 AY</t>
  </si>
  <si>
    <t>CUADRILLA AAA TIPO 6 (2 OFICIAL + 6 AYUDANTE) (Albañileria)</t>
  </si>
  <si>
    <t>CUADRILLA AAA TIPO 4 (2 OFICIAL + 4 AYUDANTE) (Albañileria)</t>
  </si>
  <si>
    <t>INSUMO CONCRETO 3000 psi - 21 Mpa - VEREDA SANTA DOMIGO</t>
  </si>
  <si>
    <t>ANALISIS DEL AIU</t>
  </si>
  <si>
    <t>Valor estimado de la Obra (Costo Directo).</t>
  </si>
  <si>
    <t>Plazo estimado de ejecución.</t>
  </si>
  <si>
    <t>Contratista Persona Natural (SI o NO)</t>
  </si>
  <si>
    <t>SI</t>
  </si>
  <si>
    <t>CAPITULO</t>
  </si>
  <si>
    <t>TIPO DE GASTO</t>
  </si>
  <si>
    <t>CANTIDAD.</t>
  </si>
  <si>
    <t>DEDICACION</t>
  </si>
  <si>
    <t>VLOR UNITARIO (mes)</t>
  </si>
  <si>
    <t>FACTOR PRESTACIONAL O FACTOR AIU (PARA INDIRECTOS)</t>
  </si>
  <si>
    <t>VALOR TOTAL</t>
  </si>
  <si>
    <t>SUMA</t>
  </si>
  <si>
    <t>PORCENTAJE</t>
  </si>
  <si>
    <t>GASTOS GENERALES.</t>
  </si>
  <si>
    <t>MANO DE OBRA Y GASTOS DE OFICINA</t>
  </si>
  <si>
    <r>
      <t xml:space="preserve">Contratista </t>
    </r>
    <r>
      <rPr>
        <sz val="10"/>
        <color indexed="10"/>
        <rFont val="Arial"/>
        <family val="2"/>
      </rPr>
      <t>(solo aplica para personas naturales)</t>
    </r>
  </si>
  <si>
    <t xml:space="preserve">Ingeniero Director </t>
  </si>
  <si>
    <t xml:space="preserve">Ingeniero Residente </t>
  </si>
  <si>
    <t xml:space="preserve">Maestro de Obra </t>
  </si>
  <si>
    <t>Residente de Salud Ocupacional</t>
  </si>
  <si>
    <t>Trabajador social</t>
  </si>
  <si>
    <t xml:space="preserve">Almacenista </t>
  </si>
  <si>
    <t>Celador  con prestaciones</t>
  </si>
  <si>
    <t>Secretaria con prestaciones</t>
  </si>
  <si>
    <t>Contador</t>
  </si>
  <si>
    <t>Equipo de Oficina (Escritorio, pc, impresora, sillas, papeleria)</t>
  </si>
  <si>
    <t>Seguridad industrial personal</t>
  </si>
  <si>
    <t>Plan de Salud ocupacional y seguridad industrial</t>
  </si>
  <si>
    <t>Sistema de gestion ambiental</t>
  </si>
  <si>
    <t>Sistema de gestion de calidad</t>
  </si>
  <si>
    <t>Costos financiero</t>
  </si>
  <si>
    <t>GASTOS INDIRECTOS.</t>
  </si>
  <si>
    <t>LEGALIZACION.</t>
  </si>
  <si>
    <t>Impuesto de Timbre</t>
  </si>
  <si>
    <t>Publicación diario oficial</t>
  </si>
  <si>
    <t>Licencia de Construccion</t>
  </si>
  <si>
    <t>POLIZAS</t>
  </si>
  <si>
    <t>Seriedad de la Propuesta.</t>
  </si>
  <si>
    <t>Anticipo</t>
  </si>
  <si>
    <t>Cumplimiento</t>
  </si>
  <si>
    <t>Estabilidad</t>
  </si>
  <si>
    <t>Calidad</t>
  </si>
  <si>
    <t>Prestaciones Sociales</t>
  </si>
  <si>
    <t>Responsabilidad Civil</t>
  </si>
  <si>
    <t>Todo riesgo</t>
  </si>
  <si>
    <t>IMPUESTOS Y CONTRIBUCIONES</t>
  </si>
  <si>
    <t xml:space="preserve">Contribuación Especial </t>
  </si>
  <si>
    <t>Retencion en la fuente</t>
  </si>
  <si>
    <t>Estampilla Pro - Adulto mayor</t>
  </si>
  <si>
    <t>Fiducia</t>
  </si>
  <si>
    <t>Gasto bancarios4x1000 y retiros</t>
  </si>
  <si>
    <t>Industria y Comercio 5 x 1.000 sobre valor total</t>
  </si>
  <si>
    <r>
      <t xml:space="preserve">CREE </t>
    </r>
    <r>
      <rPr>
        <sz val="10"/>
        <color indexed="10"/>
        <rFont val="Arial"/>
        <family val="2"/>
      </rPr>
      <t>(solo aplica a personas juridicas)</t>
    </r>
  </si>
  <si>
    <t>TOTAL GASTOS INDIRECTOS DE ADMINISTRACION.</t>
  </si>
  <si>
    <t>IMPREVISTO</t>
  </si>
  <si>
    <t>UTILIDAD:</t>
  </si>
  <si>
    <t>IVA SOBRE UTILIDAD:</t>
  </si>
  <si>
    <t>A.I.U.</t>
  </si>
  <si>
    <t>ALCALDIA DE MANIZALES.</t>
  </si>
  <si>
    <t>Base - Tope</t>
  </si>
  <si>
    <t>Vlor x Millón o fracción.</t>
  </si>
  <si>
    <t>Estampilla Pro-Hospital.</t>
  </si>
  <si>
    <t>Estampilla Pro-Universidad.</t>
  </si>
  <si>
    <t>Timbre</t>
  </si>
  <si>
    <t>Retención en la Fuente.</t>
  </si>
  <si>
    <t>Publicación Diario Oficial.</t>
  </si>
  <si>
    <t>Contribución Especial (Impovias).</t>
  </si>
  <si>
    <t>Industria y comercio (4 X 1.000 Ing. Brutos).</t>
  </si>
  <si>
    <t>E14</t>
  </si>
  <si>
    <t>MEZCLADORA A GASOLINA 1 SACO</t>
  </si>
  <si>
    <t>I2005</t>
  </si>
  <si>
    <t>TRITURADO 3/4"</t>
  </si>
  <si>
    <t xml:space="preserve">ARENA </t>
  </si>
  <si>
    <t>CEMENTO</t>
  </si>
  <si>
    <t>Kg</t>
  </si>
  <si>
    <t>m3/Km</t>
  </si>
  <si>
    <t>AGUA</t>
  </si>
  <si>
    <t>Lt</t>
  </si>
  <si>
    <t>SOBREACARREO MATERIALES GRANULARES - CABECERA MUNICIPAL VRA SANTODOMINGO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</si>
  <si>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</si>
  <si>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</si>
  <si>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</si>
  <si>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</si>
  <si>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</si>
  <si>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</si>
  <si>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</si>
  <si>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</si>
  <si>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</si>
  <si>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</si>
  <si>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E15</t>
  </si>
  <si>
    <t>MOTONIVELADORA 120 HP.</t>
  </si>
  <si>
    <t>E49</t>
  </si>
  <si>
    <t>CILINDRO COMPACTADOR 6 TONELADAS</t>
  </si>
  <si>
    <t>SOBREACARREO AFIRMADO NORMA INVIAS - CABECERA MUNICIPAL VRA SANTODOMINGO</t>
  </si>
  <si>
    <t>SOBREACARREO PIEDRA DE MANO - CABECERA MUNICIPAL VRA SANTODOMINGO</t>
  </si>
  <si>
    <t>Estampillas Pro - Cultura</t>
  </si>
  <si>
    <t>Estampillas Pro - Deporte</t>
  </si>
  <si>
    <t>Ancho promedio vía</t>
  </si>
  <si>
    <t>fleje</t>
  </si>
  <si>
    <t>Anclaje</t>
  </si>
  <si>
    <t xml:space="preserve"> (2) Meses</t>
  </si>
  <si>
    <t>VEREDA TIPO MUNICIPIO DE VILLAMARÍA - CALDAS</t>
  </si>
  <si>
    <t xml:space="preserve">CONSTRUCCIÓN DE PLACAS HUELLAS 
</t>
  </si>
  <si>
    <t>VEREDA POMOS Y SAN JULIAN
MUNICIPIO DE VILLAMARÍA - CALDAS</t>
  </si>
  <si>
    <t>46 Placas Huellas
de 3,00 m</t>
  </si>
  <si>
    <t>47 Riostras de
0,20 m de ancho</t>
  </si>
  <si>
    <t>CONSTRUCCIÓN DE PLACAS HUELLAS - VEREDA VILLARAZO</t>
  </si>
  <si>
    <t>MUNICIPIO DE VILLAMARÍA - CALDAS</t>
  </si>
  <si>
    <r>
      <rPr>
        <b/>
        <sz val="9"/>
        <rFont val="Arial Narrow"/>
        <family val="2"/>
      </rPr>
      <t xml:space="preserve">NOTA 1: </t>
    </r>
    <r>
      <rPr>
        <sz val="9"/>
        <rFont val="Arial Narrow"/>
        <family val="2"/>
      </rPr>
      <t xml:space="preserve">Todas las actividades de este presupuesto, incluyen el suministro, transporte e instalación de cada uno de los materiales. </t>
    </r>
    <r>
      <rPr>
        <b/>
        <sz val="9"/>
        <rFont val="Arial Narrow"/>
        <family val="2"/>
      </rPr>
      <t xml:space="preserve">
NOTA 2:</t>
    </r>
    <r>
      <rPr>
        <sz val="9"/>
        <rFont val="Arial Narrow"/>
        <family val="2"/>
      </rPr>
      <t xml:space="preserve"> Se debe tener en cuenta que el PRECIO UNITARIO incluye el valor del IVA (19%).</t>
    </r>
  </si>
  <si>
    <r>
      <rPr>
        <b/>
        <sz val="9"/>
        <rFont val="Arial Narrow"/>
        <family val="2"/>
      </rPr>
      <t>NOTA 3:</t>
    </r>
    <r>
      <rPr>
        <sz val="9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</si>
  <si>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9"/>
        <rFont val="Arial Narrow"/>
        <family val="2"/>
      </rPr>
      <t xml:space="preserve">NOTA 4: </t>
    </r>
    <r>
      <rPr>
        <sz val="9"/>
        <rFont val="Arial Narrow"/>
        <family val="2"/>
      </rPr>
      <t xml:space="preserve"> El reconocimiento económico de los requerimientos  ambientales exigidos  por las autoridades ambientales, y/o sociales que son de obligatorio cumplimiento, serán reconocidos a cargo de reembolso de gastos (afectados por un % de administracion).</t>
    </r>
  </si>
  <si>
    <r>
      <t xml:space="preserve">NOTA 5:  </t>
    </r>
    <r>
      <rPr>
        <sz val="9"/>
        <rFont val="Arial Narrow"/>
        <family val="2"/>
      </rPr>
      <t>El control de tráfico temporal y la señalización provisional necesarios para la ejecución de las obras será por cuenta y riesgo del contratista.</t>
    </r>
  </si>
  <si>
    <t>Construcción de Plachas Huellas - Vereda Villarazo (Contrato de Obra)</t>
  </si>
  <si>
    <t>Construcción de Plachas Huellas - Vereda Villarazo (Contrato de Interventoria)</t>
  </si>
  <si>
    <t xml:space="preserve"> DOSCIENTOS SETENTA Y CINCO MILLONES DOSCIENTOS ONCE MIL SETECIENTOS NOVENTA Y UN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</si>
</sst>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1" formatCode="_-* #,##0_-;\-* #,##0_-;_-* &quot;-&quot;_-;_-@_-"/>
    <numFmt numFmtId="44" formatCode="_-* #,##0.00\ &quot;$&quot;_-;\-* #,##0.00\ &quot;$&quot;_-;_-* &quot;-&quot;??\ &quot;$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#,##0.00;\-&quot;$&quot;#,##0.00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\ &quot;€&quot;_-;\-* #,##0.00\ &quot;€&quot;_-;_-* &quot;-&quot;??\ &quot;€&quot;_-;_-@_-"/>
    <numFmt numFmtId="172" formatCode="_ [$€-2]\ * #,##0.00_ ;_ [$€-2]\ * \-#,##0.00_ ;_ [$€-2]\ * &quot;-&quot;??_ "/>
    <numFmt numFmtId="173" formatCode="&quot;$&quot;\ #,##0;&quot;$&quot;\ \-#,##0"/>
    <numFmt numFmtId="174" formatCode="_ * #,##0.00_ ;_ * \-#,##0.00_ ;_ * &quot;-&quot;??_ ;_ @_ "/>
    <numFmt numFmtId="175" formatCode="_ &quot;$&quot;\ * #,##0.00_ ;_ &quot;$&quot;\ * \-#,##0.00_ ;_ &quot;$&quot;\ * &quot;-&quot;??_ ;_ @_ "/>
    <numFmt numFmtId="176" formatCode="#,##0.00\ &quot;pta&quot;;\-#,##0.00\ &quot;pta&quot;"/>
    <numFmt numFmtId="177" formatCode="_(&quot;$&quot;\ * #,##0_);_(&quot;$&quot;\ * \(#,##0\);_(&quot;$&quot;\ * &quot;-&quot;??_);_(@_)"/>
    <numFmt numFmtId="178" formatCode="[$-240A]d&quot; de &quot;mmmm&quot; de &quot;yyyy;@"/>
    <numFmt numFmtId="179" formatCode="_-[$$-240A]* #,##0_-;\-[$$-240A]* #,##0_-;_-[$$-240A]* &quot;-&quot;_-;_-@_-"/>
    <numFmt numFmtId="180" formatCode="_-* #,##0.00\ &quot;Pts&quot;_-;\-* #,##0.00\ &quot;Pts&quot;_-;_-* &quot;-&quot;??\ &quot;Pts&quot;_-;_-@_-"/>
    <numFmt numFmtId="181" formatCode="_([$$-240A]\ * #,##0_);_([$$-240A]\ * \(#,##0\);_([$$-240A]\ * &quot;-&quot;??_);_(@_)"/>
    <numFmt numFmtId="182" formatCode="[$$-240A]#,##0.00"/>
    <numFmt numFmtId="183" formatCode="0.000"/>
    <numFmt numFmtId="184" formatCode="_-[$$-240A]\ * #,##0.00_-;\-[$$-240A]\ * #,##0.00_-;_-[$$-240A]\ * &quot;-&quot;??_-;_-@_-"/>
    <numFmt numFmtId="185" formatCode="0.00000"/>
    <numFmt numFmtId="186" formatCode="&quot;$&quot;\ #,##0.00"/>
    <numFmt numFmtId="187" formatCode="_-[$$-240A]* #,##0.00_-;\-[$$-240A]* #,##0.00_-;_-[$$-240A]* &quot;-&quot;??_-;_-@_-"/>
    <numFmt numFmtId="188" formatCode="_(&quot;$&quot;* #,##0_);_(&quot;$&quot;* \(#,##0\);_(&quot;$&quot;* &quot;-&quot;_);_(@_)"/>
    <numFmt numFmtId="189" formatCode="0.0000"/>
    <numFmt numFmtId="190" formatCode="_(&quot;$&quot;* #,##0.00_);_(&quot;$&quot;* \(#,##0.00\);_(&quot;$&quot;* &quot;-&quot;??_);_(@_)"/>
    <numFmt numFmtId="191" formatCode="&quot;$&quot;#,##0"/>
    <numFmt numFmtId="192" formatCode="#,##0.00000"/>
    <numFmt numFmtId="193" formatCode="#,##0.000"/>
    <numFmt numFmtId="194" formatCode="0.000%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7.8"/>
      <color rgb="FF000000"/>
      <name val="Arial"/>
      <family val="2"/>
    </font>
    <font>
      <sz val="8.25"/>
      <color rgb="FF000000"/>
      <name val="Arial"/>
      <family val="2"/>
    </font>
    <font>
      <sz val="10"/>
      <name val="MS Sans Serif"/>
      <family val="2"/>
    </font>
    <font>
      <sz val="10"/>
      <name val="MS Sans Serif"/>
      <family val="2"/>
    </font>
    <font>
      <sz val="10"/>
      <color theme="1"/>
      <name val="Arial Unicode MS"/>
      <family val="2"/>
    </font>
    <font>
      <sz val="10"/>
      <name val="Arial Unicode MS"/>
      <family val="2"/>
    </font>
    <font>
      <b/>
      <sz val="10"/>
      <name val="Arial Unicode MS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10"/>
      <name val="Calibri"/>
      <family val="2"/>
    </font>
    <font>
      <sz val="10"/>
      <color rgb="FF000000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vertAlign val="superscript"/>
      <sz val="1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color indexed="8"/>
      <name val="MS Sans Serif"/>
      <family val="2"/>
    </font>
    <font>
      <b/>
      <u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name val="Calibri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indexed="10"/>
      <name val="Arial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91D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AA2"/>
        <bgColor indexed="64"/>
      </patternFill>
    </fill>
    <fill>
      <patternFill patternType="solid">
        <fgColor indexed="43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0">
    <xf numFmtId="0" fontId="0" fillId="0" borderId="0"/>
    <xf numFmtId="170" fontId="1" fillId="0" borderId="0" applyFont="0" applyFill="0" applyBorder="0" applyAlignment="0" applyProtection="0"/>
    <xf numFmtId="172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6" fontId="2" fillId="0" borderId="0" applyFont="0" applyFill="0" applyBorder="0" applyAlignment="0" applyProtection="0"/>
    <xf numFmtId="175" fontId="2" fillId="0" borderId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167" fontId="1" fillId="0" borderId="0" applyFont="0" applyFill="0" applyBorder="0" applyAlignment="0" applyProtection="0"/>
    <xf numFmtId="0" fontId="7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0" fontId="1" fillId="0" borderId="0"/>
    <xf numFmtId="0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180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34" fillId="0" borderId="0"/>
    <xf numFmtId="0" fontId="38" fillId="0" borderId="0"/>
    <xf numFmtId="0" fontId="3" fillId="0" borderId="0"/>
    <xf numFmtId="0" fontId="2" fillId="0" borderId="0"/>
    <xf numFmtId="188" fontId="2" fillId="0" borderId="0" applyFont="0" applyFill="0" applyBorder="0" applyAlignment="0" applyProtection="0"/>
    <xf numFmtId="188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</cellStyleXfs>
  <cellXfs count="665">
    <xf numFmtId="0" fontId="0" fillId="0" borderId="0" xfId="0"/>
    <xf numFmtId="0" fontId="0" fillId="2" borderId="0" xfId="0" applyFill="1"/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8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 vertical="center"/>
    </xf>
    <xf numFmtId="41" fontId="20" fillId="2" borderId="0" xfId="132" applyFont="1" applyFill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2" fillId="2" borderId="0" xfId="0" applyFont="1" applyFill="1"/>
    <xf numFmtId="0" fontId="22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 wrapText="1"/>
    </xf>
    <xf numFmtId="0" fontId="0" fillId="2" borderId="6" xfId="0" applyFill="1" applyBorder="1" applyAlignment="1">
      <alignment vertical="center"/>
    </xf>
    <xf numFmtId="0" fontId="10" fillId="2" borderId="15" xfId="101" applyFont="1" applyFill="1" applyBorder="1" applyAlignment="1">
      <alignment vertical="center"/>
    </xf>
    <xf numFmtId="0" fontId="10" fillId="2" borderId="7" xfId="101" applyFont="1" applyFill="1" applyBorder="1" applyAlignment="1">
      <alignment vertical="center"/>
    </xf>
    <xf numFmtId="167" fontId="21" fillId="3" borderId="1" xfId="104" applyFont="1" applyFill="1" applyBorder="1" applyAlignment="1">
      <alignment horizontal="center" vertical="center"/>
    </xf>
    <xf numFmtId="167" fontId="21" fillId="3" borderId="1" xfId="104" applyFont="1" applyFill="1" applyBorder="1" applyAlignment="1">
      <alignment horizontal="left" vertical="center"/>
    </xf>
    <xf numFmtId="0" fontId="22" fillId="2" borderId="0" xfId="0" applyFont="1" applyFill="1" applyAlignment="1">
      <alignment horizontal="left"/>
    </xf>
    <xf numFmtId="167" fontId="24" fillId="2" borderId="1" xfId="104" applyFont="1" applyFill="1" applyBorder="1" applyAlignment="1">
      <alignment horizontal="center" vertical="center"/>
    </xf>
    <xf numFmtId="167" fontId="24" fillId="2" borderId="1" xfId="104" applyFont="1" applyFill="1" applyBorder="1" applyAlignment="1">
      <alignment horizontal="left" vertical="center"/>
    </xf>
    <xf numFmtId="167" fontId="24" fillId="2" borderId="1" xfId="104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/>
    </xf>
    <xf numFmtId="0" fontId="22" fillId="2" borderId="1" xfId="0" applyFont="1" applyFill="1" applyBorder="1" applyAlignment="1">
      <alignment horizontal="left" wrapText="1"/>
    </xf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25" fillId="2" borderId="1" xfId="101" applyFont="1" applyFill="1" applyBorder="1" applyAlignment="1">
      <alignment vertical="center" wrapText="1"/>
    </xf>
    <xf numFmtId="179" fontId="20" fillId="2" borderId="0" xfId="132" applyNumberFormat="1" applyFont="1" applyFill="1" applyAlignment="1">
      <alignment horizontal="center" vertical="center"/>
    </xf>
    <xf numFmtId="169" fontId="24" fillId="2" borderId="1" xfId="129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2" borderId="0" xfId="0" applyFont="1" applyFill="1" applyAlignment="1">
      <alignment vertical="center" wrapText="1"/>
    </xf>
    <xf numFmtId="0" fontId="25" fillId="2" borderId="1" xfId="101" applyFont="1" applyFill="1" applyBorder="1" applyAlignment="1">
      <alignment horizontal="center" vertical="center" wrapText="1"/>
    </xf>
    <xf numFmtId="9" fontId="25" fillId="2" borderId="1" xfId="108" applyFont="1" applyFill="1" applyBorder="1" applyAlignment="1">
      <alignment horizontal="center" vertical="center" wrapText="1"/>
    </xf>
    <xf numFmtId="2" fontId="13" fillId="2" borderId="0" xfId="0" applyNumberFormat="1" applyFont="1" applyFill="1" applyAlignment="1">
      <alignment vertical="center"/>
    </xf>
    <xf numFmtId="2" fontId="13" fillId="2" borderId="1" xfId="0" applyNumberFormat="1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 vertical="center"/>
    </xf>
    <xf numFmtId="172" fontId="12" fillId="4" borderId="1" xfId="99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2" fontId="13" fillId="2" borderId="17" xfId="0" applyNumberFormat="1" applyFont="1" applyFill="1" applyBorder="1" applyAlignment="1">
      <alignment horizontal="center" vertical="center" wrapText="1"/>
    </xf>
    <xf numFmtId="2" fontId="11" fillId="2" borderId="17" xfId="99" applyNumberFormat="1" applyFont="1" applyFill="1" applyBorder="1" applyAlignment="1">
      <alignment horizontal="center" vertical="center" wrapText="1"/>
    </xf>
    <xf numFmtId="2" fontId="13" fillId="2" borderId="26" xfId="0" applyNumberFormat="1" applyFont="1" applyFill="1" applyBorder="1" applyAlignment="1">
      <alignment horizontal="center" vertical="center" wrapText="1"/>
    </xf>
    <xf numFmtId="2" fontId="13" fillId="2" borderId="26" xfId="0" applyNumberFormat="1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vertical="center"/>
    </xf>
    <xf numFmtId="0" fontId="13" fillId="2" borderId="26" xfId="0" applyFont="1" applyFill="1" applyBorder="1" applyAlignment="1">
      <alignment horizontal="center" vertical="center" wrapText="1"/>
    </xf>
    <xf numFmtId="2" fontId="11" fillId="2" borderId="0" xfId="99" applyNumberFormat="1" applyFont="1" applyFill="1" applyAlignment="1">
      <alignment horizontal="center" vertical="center" wrapText="1"/>
    </xf>
    <xf numFmtId="2" fontId="13" fillId="2" borderId="0" xfId="0" applyNumberFormat="1" applyFont="1" applyFill="1" applyAlignment="1">
      <alignment horizontal="center" vertical="center" wrapText="1"/>
    </xf>
    <xf numFmtId="2" fontId="13" fillId="2" borderId="31" xfId="0" applyNumberFormat="1" applyFont="1" applyFill="1" applyBorder="1" applyAlignment="1">
      <alignment horizontal="center" vertical="center" wrapText="1"/>
    </xf>
    <xf numFmtId="2" fontId="13" fillId="2" borderId="26" xfId="0" applyNumberFormat="1" applyFont="1" applyFill="1" applyBorder="1" applyAlignment="1">
      <alignment vertical="center"/>
    </xf>
    <xf numFmtId="2" fontId="13" fillId="2" borderId="17" xfId="0" applyNumberFormat="1" applyFont="1" applyFill="1" applyBorder="1" applyAlignment="1">
      <alignment vertical="center"/>
    </xf>
    <xf numFmtId="0" fontId="2" fillId="2" borderId="0" xfId="0" applyFont="1" applyFill="1"/>
    <xf numFmtId="0" fontId="16" fillId="2" borderId="0" xfId="0" applyFont="1" applyFill="1"/>
    <xf numFmtId="0" fontId="27" fillId="2" borderId="0" xfId="0" applyFont="1" applyFill="1"/>
    <xf numFmtId="0" fontId="16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1" fillId="2" borderId="0" xfId="0" applyFont="1" applyFill="1"/>
    <xf numFmtId="0" fontId="12" fillId="2" borderId="0" xfId="0" applyFont="1" applyFill="1"/>
    <xf numFmtId="0" fontId="20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right"/>
    </xf>
    <xf numFmtId="0" fontId="19" fillId="2" borderId="12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right" vertical="center"/>
    </xf>
    <xf numFmtId="0" fontId="11" fillId="2" borderId="8" xfId="0" applyFont="1" applyFill="1" applyBorder="1" applyAlignment="1">
      <alignment horizontal="right" vertical="center"/>
    </xf>
    <xf numFmtId="0" fontId="18" fillId="2" borderId="1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right" vertical="center" wrapText="1"/>
    </xf>
    <xf numFmtId="178" fontId="11" fillId="2" borderId="9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2" fontId="14" fillId="4" borderId="3" xfId="0" applyNumberFormat="1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right" vertical="center" wrapText="1"/>
    </xf>
    <xf numFmtId="170" fontId="14" fillId="4" borderId="14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7" xfId="1" applyNumberFormat="1" applyFont="1" applyFill="1" applyBorder="1" applyAlignment="1">
      <alignment horizontal="left" vertical="center" wrapText="1"/>
    </xf>
    <xf numFmtId="170" fontId="13" fillId="2" borderId="7" xfId="1" applyFont="1" applyFill="1" applyBorder="1" applyAlignment="1">
      <alignment horizontal="center" vertical="center" wrapText="1"/>
    </xf>
    <xf numFmtId="170" fontId="13" fillId="2" borderId="1" xfId="1" applyFont="1" applyFill="1" applyBorder="1" applyAlignment="1">
      <alignment horizontal="right" vertical="center" wrapText="1"/>
    </xf>
    <xf numFmtId="14" fontId="13" fillId="2" borderId="0" xfId="0" applyNumberFormat="1" applyFont="1" applyFill="1" applyAlignment="1">
      <alignment vertical="center"/>
    </xf>
    <xf numFmtId="43" fontId="13" fillId="2" borderId="0" xfId="138" applyFont="1" applyFill="1" applyAlignment="1">
      <alignment vertical="center"/>
    </xf>
    <xf numFmtId="170" fontId="13" fillId="2" borderId="0" xfId="0" applyNumberFormat="1" applyFont="1" applyFill="1" applyAlignment="1">
      <alignment horizontal="right" vertical="center"/>
    </xf>
    <xf numFmtId="170" fontId="14" fillId="4" borderId="1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right" vertical="center"/>
    </xf>
    <xf numFmtId="170" fontId="13" fillId="2" borderId="0" xfId="0" applyNumberFormat="1" applyFont="1" applyFill="1" applyAlignment="1">
      <alignment vertical="center"/>
    </xf>
    <xf numFmtId="0" fontId="13" fillId="2" borderId="3" xfId="0" applyFont="1" applyFill="1" applyBorder="1" applyAlignment="1">
      <alignment vertical="center"/>
    </xf>
    <xf numFmtId="170" fontId="13" fillId="2" borderId="4" xfId="0" applyNumberFormat="1" applyFont="1" applyFill="1" applyBorder="1" applyAlignment="1">
      <alignment horizontal="right" vertical="center"/>
    </xf>
    <xf numFmtId="170" fontId="11" fillId="2" borderId="14" xfId="0" applyNumberFormat="1" applyFont="1" applyFill="1" applyBorder="1" applyAlignment="1">
      <alignment horizontal="right" vertical="center"/>
    </xf>
    <xf numFmtId="170" fontId="13" fillId="2" borderId="1" xfId="0" applyNumberFormat="1" applyFont="1" applyFill="1" applyBorder="1" applyAlignment="1">
      <alignment horizontal="right" vertical="center"/>
    </xf>
    <xf numFmtId="10" fontId="11" fillId="2" borderId="7" xfId="108" applyNumberFormat="1" applyFont="1" applyFill="1" applyBorder="1" applyAlignment="1">
      <alignment horizontal="center" vertical="center"/>
    </xf>
    <xf numFmtId="182" fontId="11" fillId="2" borderId="7" xfId="0" applyNumberFormat="1" applyFont="1" applyFill="1" applyBorder="1" applyAlignment="1">
      <alignment vertical="center"/>
    </xf>
    <xf numFmtId="10" fontId="11" fillId="2" borderId="1" xfId="108" applyNumberFormat="1" applyFont="1" applyFill="1" applyBorder="1" applyAlignment="1">
      <alignment horizontal="center" vertical="center"/>
    </xf>
    <xf numFmtId="170" fontId="29" fillId="9" borderId="1" xfId="1" applyFont="1" applyFill="1" applyBorder="1" applyAlignment="1">
      <alignment horizontal="right" vertical="center" wrapText="1"/>
    </xf>
    <xf numFmtId="0" fontId="2" fillId="2" borderId="5" xfId="137" applyFill="1" applyBorder="1" applyAlignment="1">
      <alignment vertical="center"/>
    </xf>
    <xf numFmtId="0" fontId="30" fillId="2" borderId="5" xfId="137" applyFont="1" applyFill="1" applyBorder="1" applyAlignment="1">
      <alignment vertical="center" wrapText="1"/>
    </xf>
    <xf numFmtId="0" fontId="28" fillId="2" borderId="5" xfId="137" applyFont="1" applyFill="1" applyBorder="1" applyAlignment="1">
      <alignment vertical="center" wrapText="1"/>
    </xf>
    <xf numFmtId="0" fontId="2" fillId="2" borderId="11" xfId="40" applyFill="1" applyBorder="1" applyAlignment="1">
      <alignment vertical="center"/>
    </xf>
    <xf numFmtId="0" fontId="2" fillId="2" borderId="0" xfId="40" applyFill="1" applyAlignment="1">
      <alignment vertical="center"/>
    </xf>
    <xf numFmtId="181" fontId="2" fillId="2" borderId="0" xfId="135" applyNumberFormat="1" applyFill="1" applyAlignment="1">
      <alignment vertical="center"/>
    </xf>
    <xf numFmtId="0" fontId="2" fillId="2" borderId="0" xfId="135" applyFill="1" applyAlignment="1">
      <alignment vertical="center"/>
    </xf>
    <xf numFmtId="0" fontId="2" fillId="2" borderId="0" xfId="40" applyFill="1" applyAlignment="1">
      <alignment vertical="center" wrapText="1"/>
    </xf>
    <xf numFmtId="0" fontId="2" fillId="2" borderId="0" xfId="135" applyFill="1" applyAlignment="1">
      <alignment vertical="center" wrapText="1"/>
    </xf>
    <xf numFmtId="0" fontId="2" fillId="2" borderId="0" xfId="0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28" fillId="2" borderId="0" xfId="0" applyFont="1" applyFill="1"/>
    <xf numFmtId="0" fontId="30" fillId="2" borderId="0" xfId="0" applyFont="1" applyFill="1"/>
    <xf numFmtId="0" fontId="31" fillId="2" borderId="0" xfId="0" applyFont="1" applyFill="1"/>
    <xf numFmtId="49" fontId="13" fillId="2" borderId="0" xfId="0" applyNumberFormat="1" applyFont="1" applyFill="1" applyAlignment="1">
      <alignment horizontal="left"/>
    </xf>
    <xf numFmtId="0" fontId="13" fillId="2" borderId="0" xfId="0" applyFont="1" applyFill="1"/>
    <xf numFmtId="0" fontId="13" fillId="2" borderId="0" xfId="0" applyFont="1" applyFill="1" applyAlignment="1">
      <alignment horizontal="center"/>
    </xf>
    <xf numFmtId="177" fontId="13" fillId="2" borderId="0" xfId="1" applyNumberFormat="1" applyFont="1" applyFill="1" applyAlignment="1">
      <alignment horizontal="left" vertical="center"/>
    </xf>
    <xf numFmtId="49" fontId="12" fillId="8" borderId="1" xfId="0" applyNumberFormat="1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177" fontId="12" fillId="8" borderId="1" xfId="1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left" vertical="center"/>
    </xf>
    <xf numFmtId="177" fontId="12" fillId="2" borderId="0" xfId="0" applyNumberFormat="1" applyFont="1" applyFill="1" applyAlignment="1">
      <alignment horizontal="center" vertical="center" wrapText="1"/>
    </xf>
    <xf numFmtId="49" fontId="12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177" fontId="11" fillId="2" borderId="0" xfId="1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49" fontId="12" fillId="4" borderId="6" xfId="0" applyNumberFormat="1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horizontal="center" vertical="center" wrapText="1"/>
    </xf>
    <xf numFmtId="177" fontId="12" fillId="4" borderId="6" xfId="1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2" fontId="13" fillId="2" borderId="17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177" fontId="11" fillId="2" borderId="1" xfId="1" applyNumberFormat="1" applyFont="1" applyFill="1" applyBorder="1" applyAlignment="1">
      <alignment horizontal="left" vertical="center"/>
    </xf>
    <xf numFmtId="0" fontId="26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center" vertical="center"/>
    </xf>
    <xf numFmtId="0" fontId="13" fillId="2" borderId="8" xfId="0" applyFont="1" applyFill="1" applyBorder="1" applyAlignment="1">
      <alignment vertical="center"/>
    </xf>
    <xf numFmtId="0" fontId="13" fillId="2" borderId="2" xfId="0" applyFont="1" applyFill="1" applyBorder="1" applyAlignment="1">
      <alignment vertical="center"/>
    </xf>
    <xf numFmtId="0" fontId="13" fillId="2" borderId="13" xfId="0" applyFont="1" applyFill="1" applyBorder="1" applyAlignment="1">
      <alignment vertical="center"/>
    </xf>
    <xf numFmtId="0" fontId="12" fillId="3" borderId="1" xfId="99" applyFont="1" applyFill="1" applyBorder="1" applyAlignment="1">
      <alignment horizontal="center" vertical="center" wrapText="1"/>
    </xf>
    <xf numFmtId="0" fontId="12" fillId="3" borderId="1" xfId="99" applyFont="1" applyFill="1" applyBorder="1" applyAlignment="1">
      <alignment horizontal="center" vertical="center" wrapText="1" shrinkToFit="1"/>
    </xf>
    <xf numFmtId="2" fontId="12" fillId="2" borderId="1" xfId="99" applyNumberFormat="1" applyFont="1" applyFill="1" applyBorder="1" applyAlignment="1">
      <alignment horizontal="center" vertical="center" wrapText="1" shrinkToFit="1"/>
    </xf>
    <xf numFmtId="0" fontId="14" fillId="4" borderId="4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172" fontId="12" fillId="3" borderId="1" xfId="99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2" fontId="13" fillId="2" borderId="18" xfId="0" applyNumberFormat="1" applyFont="1" applyFill="1" applyBorder="1" applyAlignment="1">
      <alignment horizontal="center" vertical="center"/>
    </xf>
    <xf numFmtId="2" fontId="11" fillId="2" borderId="21" xfId="99" applyNumberFormat="1" applyFont="1" applyFill="1" applyBorder="1" applyAlignment="1">
      <alignment horizontal="center" vertical="center" wrapText="1"/>
    </xf>
    <xf numFmtId="2" fontId="13" fillId="2" borderId="2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/>
    </xf>
    <xf numFmtId="49" fontId="14" fillId="4" borderId="3" xfId="0" applyNumberFormat="1" applyFont="1" applyFill="1" applyBorder="1" applyAlignment="1">
      <alignment horizontal="center" vertical="center"/>
    </xf>
    <xf numFmtId="0" fontId="12" fillId="2" borderId="0" xfId="99" applyFont="1" applyFill="1" applyAlignment="1">
      <alignment horizontal="center" vertical="center"/>
    </xf>
    <xf numFmtId="2" fontId="12" fillId="2" borderId="0" xfId="99" applyNumberFormat="1" applyFont="1" applyFill="1" applyAlignment="1">
      <alignment horizontal="center" vertical="center" wrapText="1" shrinkToFit="1"/>
    </xf>
    <xf numFmtId="43" fontId="12" fillId="2" borderId="0" xfId="138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2" fontId="13" fillId="2" borderId="27" xfId="0" applyNumberFormat="1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vertical="center"/>
    </xf>
    <xf numFmtId="0" fontId="13" fillId="2" borderId="21" xfId="0" applyFont="1" applyFill="1" applyBorder="1" applyAlignment="1">
      <alignment vertical="center"/>
    </xf>
    <xf numFmtId="2" fontId="13" fillId="2" borderId="35" xfId="0" applyNumberFormat="1" applyFont="1" applyFill="1" applyBorder="1" applyAlignment="1">
      <alignment horizontal="center" vertical="center" wrapText="1"/>
    </xf>
    <xf numFmtId="2" fontId="13" fillId="2" borderId="22" xfId="0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left" vertical="center" wrapText="1"/>
    </xf>
    <xf numFmtId="2" fontId="13" fillId="2" borderId="21" xfId="0" applyNumberFormat="1" applyFont="1" applyFill="1" applyBorder="1" applyAlignment="1">
      <alignment vertical="center"/>
    </xf>
    <xf numFmtId="2" fontId="13" fillId="2" borderId="35" xfId="0" applyNumberFormat="1" applyFont="1" applyFill="1" applyBorder="1" applyAlignment="1">
      <alignment vertical="center" wrapText="1"/>
    </xf>
    <xf numFmtId="2" fontId="13" fillId="2" borderId="36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" fontId="11" fillId="9" borderId="1" xfId="0" applyNumberFormat="1" applyFont="1" applyFill="1" applyBorder="1" applyAlignment="1">
      <alignment horizontal="center" vertical="center" wrapText="1"/>
    </xf>
    <xf numFmtId="4" fontId="14" fillId="6" borderId="7" xfId="0" applyNumberFormat="1" applyFont="1" applyFill="1" applyBorder="1" applyAlignment="1">
      <alignment horizontal="center" vertical="center"/>
    </xf>
    <xf numFmtId="2" fontId="11" fillId="9" borderId="1" xfId="138" applyNumberFormat="1" applyFont="1" applyFill="1" applyBorder="1" applyAlignment="1">
      <alignment horizontal="center" vertical="center" wrapText="1"/>
    </xf>
    <xf numFmtId="2" fontId="13" fillId="2" borderId="30" xfId="0" applyNumberFormat="1" applyFont="1" applyFill="1" applyBorder="1" applyAlignment="1">
      <alignment horizontal="center" vertical="center"/>
    </xf>
    <xf numFmtId="2" fontId="13" fillId="2" borderId="21" xfId="0" applyNumberFormat="1" applyFont="1" applyFill="1" applyBorder="1" applyAlignment="1">
      <alignment horizontal="center" vertical="center"/>
    </xf>
    <xf numFmtId="0" fontId="11" fillId="2" borderId="1" xfId="99" applyFont="1" applyFill="1" applyBorder="1" applyAlignment="1">
      <alignment horizontal="center" vertical="center"/>
    </xf>
    <xf numFmtId="2" fontId="13" fillId="2" borderId="33" xfId="0" applyNumberFormat="1" applyFont="1" applyFill="1" applyBorder="1" applyAlignment="1">
      <alignment horizontal="center" vertical="center"/>
    </xf>
    <xf numFmtId="2" fontId="13" fillId="2" borderId="29" xfId="0" applyNumberFormat="1" applyFont="1" applyFill="1" applyBorder="1" applyAlignment="1">
      <alignment horizontal="center" vertical="center"/>
    </xf>
    <xf numFmtId="2" fontId="13" fillId="2" borderId="38" xfId="0" applyNumberFormat="1" applyFont="1" applyFill="1" applyBorder="1" applyAlignment="1">
      <alignment horizontal="center" vertical="center"/>
    </xf>
    <xf numFmtId="183" fontId="13" fillId="2" borderId="30" xfId="0" applyNumberFormat="1" applyFont="1" applyFill="1" applyBorder="1" applyAlignment="1">
      <alignment horizontal="center" vertical="center"/>
    </xf>
    <xf numFmtId="183" fontId="13" fillId="2" borderId="29" xfId="0" applyNumberFormat="1" applyFont="1" applyFill="1" applyBorder="1" applyAlignment="1">
      <alignment horizontal="center" vertical="center"/>
    </xf>
    <xf numFmtId="2" fontId="12" fillId="6" borderId="1" xfId="0" applyNumberFormat="1" applyFont="1" applyFill="1" applyBorder="1" applyAlignment="1">
      <alignment horizontal="center" vertical="center" wrapText="1"/>
    </xf>
    <xf numFmtId="183" fontId="11" fillId="9" borderId="1" xfId="0" applyNumberFormat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vertical="center"/>
    </xf>
    <xf numFmtId="49" fontId="14" fillId="4" borderId="1" xfId="0" applyNumberFormat="1" applyFont="1" applyFill="1" applyBorder="1" applyAlignment="1">
      <alignment horizontal="center" vertical="center"/>
    </xf>
    <xf numFmtId="2" fontId="13" fillId="2" borderId="35" xfId="0" applyNumberFormat="1" applyFont="1" applyFill="1" applyBorder="1" applyAlignment="1">
      <alignment horizontal="center" vertical="center"/>
    </xf>
    <xf numFmtId="2" fontId="13" fillId="2" borderId="36" xfId="0" applyNumberFormat="1" applyFont="1" applyFill="1" applyBorder="1" applyAlignment="1">
      <alignment horizontal="center" vertical="center"/>
    </xf>
    <xf numFmtId="0" fontId="35" fillId="2" borderId="0" xfId="139" applyFont="1" applyFill="1" applyAlignment="1">
      <alignment horizontal="center" vertical="center" wrapText="1"/>
    </xf>
    <xf numFmtId="0" fontId="35" fillId="2" borderId="0" xfId="139" applyFont="1" applyFill="1" applyAlignment="1">
      <alignment horizontal="justify" vertical="center" wrapText="1"/>
    </xf>
    <xf numFmtId="0" fontId="19" fillId="2" borderId="0" xfId="139" applyFont="1" applyFill="1" applyAlignment="1">
      <alignment horizontal="center" vertical="center" wrapText="1"/>
    </xf>
    <xf numFmtId="0" fontId="36" fillId="2" borderId="12" xfId="139" applyFont="1" applyFill="1" applyBorder="1" applyAlignment="1">
      <alignment horizontal="center" vertical="center" wrapText="1"/>
    </xf>
    <xf numFmtId="0" fontId="36" fillId="2" borderId="0" xfId="139" applyFont="1" applyFill="1" applyAlignment="1">
      <alignment horizontal="center" vertical="center" wrapText="1"/>
    </xf>
    <xf numFmtId="0" fontId="36" fillId="2" borderId="0" xfId="139" applyFont="1" applyFill="1" applyAlignment="1">
      <alignment horizontal="justify" vertical="center" wrapText="1"/>
    </xf>
    <xf numFmtId="184" fontId="36" fillId="2" borderId="0" xfId="139" applyNumberFormat="1" applyFont="1" applyFill="1" applyAlignment="1">
      <alignment horizontal="justify" vertical="center" wrapText="1"/>
    </xf>
    <xf numFmtId="0" fontId="37" fillId="2" borderId="0" xfId="139" applyFont="1" applyFill="1" applyAlignment="1">
      <alignment horizontal="justify" vertical="center" wrapText="1"/>
    </xf>
    <xf numFmtId="0" fontId="37" fillId="2" borderId="8" xfId="139" applyFont="1" applyFill="1" applyBorder="1" applyAlignment="1">
      <alignment horizontal="justify" vertical="center" wrapText="1"/>
    </xf>
    <xf numFmtId="0" fontId="19" fillId="2" borderId="13" xfId="139" applyFont="1" applyFill="1" applyBorder="1" applyAlignment="1">
      <alignment horizontal="center" vertical="center" wrapText="1"/>
    </xf>
    <xf numFmtId="0" fontId="19" fillId="2" borderId="2" xfId="139" applyFont="1" applyFill="1" applyBorder="1" applyAlignment="1">
      <alignment horizontal="center" vertical="center" wrapText="1"/>
    </xf>
    <xf numFmtId="0" fontId="19" fillId="2" borderId="2" xfId="139" applyFont="1" applyFill="1" applyBorder="1" applyAlignment="1">
      <alignment horizontal="justify" vertical="center" wrapText="1"/>
    </xf>
    <xf numFmtId="178" fontId="35" fillId="2" borderId="0" xfId="139" applyNumberFormat="1" applyFont="1" applyFill="1" applyAlignment="1">
      <alignment horizontal="center" vertical="center" wrapText="1"/>
    </xf>
    <xf numFmtId="0" fontId="35" fillId="0" borderId="0" xfId="139" applyFont="1"/>
    <xf numFmtId="49" fontId="19" fillId="3" borderId="6" xfId="139" applyNumberFormat="1" applyFont="1" applyFill="1" applyBorder="1" applyAlignment="1" applyProtection="1">
      <alignment horizontal="center" vertical="center" wrapText="1"/>
      <protection hidden="1"/>
    </xf>
    <xf numFmtId="0" fontId="19" fillId="3" borderId="6" xfId="139" applyFont="1" applyFill="1" applyBorder="1" applyAlignment="1" applyProtection="1">
      <alignment horizontal="center" vertical="center" wrapText="1"/>
      <protection hidden="1"/>
    </xf>
    <xf numFmtId="185" fontId="19" fillId="3" borderId="6" xfId="139" applyNumberFormat="1" applyFont="1" applyFill="1" applyBorder="1" applyAlignment="1" applyProtection="1">
      <alignment horizontal="center" vertical="center" wrapText="1"/>
      <protection hidden="1"/>
    </xf>
    <xf numFmtId="185" fontId="19" fillId="3" borderId="1" xfId="139" applyNumberFormat="1" applyFont="1" applyFill="1" applyBorder="1" applyAlignment="1" applyProtection="1">
      <alignment horizontal="center" vertical="center" wrapText="1"/>
      <protection hidden="1"/>
    </xf>
    <xf numFmtId="186" fontId="35" fillId="2" borderId="0" xfId="139" applyNumberFormat="1" applyFont="1" applyFill="1" applyAlignment="1">
      <alignment horizontal="center" vertical="center" wrapText="1"/>
    </xf>
    <xf numFmtId="49" fontId="39" fillId="5" borderId="46" xfId="139" applyNumberFormat="1" applyFont="1" applyFill="1" applyBorder="1" applyAlignment="1">
      <alignment horizontal="center" vertical="center" wrapText="1"/>
    </xf>
    <xf numFmtId="0" fontId="39" fillId="5" borderId="4" xfId="139" applyFont="1" applyFill="1" applyBorder="1" applyAlignment="1">
      <alignment vertical="center" wrapText="1"/>
    </xf>
    <xf numFmtId="0" fontId="39" fillId="5" borderId="14" xfId="139" applyFont="1" applyFill="1" applyBorder="1" applyAlignment="1">
      <alignment vertical="center" wrapText="1"/>
    </xf>
    <xf numFmtId="0" fontId="39" fillId="5" borderId="0" xfId="139" applyFont="1" applyFill="1" applyAlignment="1">
      <alignment horizontal="center" vertical="center" wrapText="1"/>
    </xf>
    <xf numFmtId="0" fontId="19" fillId="0" borderId="0" xfId="141" applyFont="1" applyAlignment="1" applyProtection="1">
      <alignment horizontal="justify" vertical="center" wrapText="1"/>
      <protection hidden="1"/>
    </xf>
    <xf numFmtId="183" fontId="35" fillId="0" borderId="0" xfId="141" applyNumberFormat="1" applyFont="1" applyAlignment="1" applyProtection="1">
      <alignment horizontal="justify" vertical="center" wrapText="1"/>
      <protection hidden="1"/>
    </xf>
    <xf numFmtId="186" fontId="35" fillId="0" borderId="0" xfId="141" applyNumberFormat="1" applyFont="1" applyAlignment="1" applyProtection="1">
      <alignment horizontal="justify" vertical="center" wrapText="1"/>
      <protection hidden="1"/>
    </xf>
    <xf numFmtId="186" fontId="19" fillId="10" borderId="0" xfId="142" applyNumberFormat="1" applyFont="1" applyFill="1" applyAlignment="1" applyProtection="1">
      <alignment horizontal="justify" vertical="center" wrapText="1"/>
      <protection hidden="1"/>
    </xf>
    <xf numFmtId="186" fontId="19" fillId="8" borderId="0" xfId="139" applyNumberFormat="1" applyFont="1" applyFill="1" applyAlignment="1" applyProtection="1">
      <alignment horizontal="justify" vertical="center" wrapText="1"/>
      <protection hidden="1"/>
    </xf>
    <xf numFmtId="0" fontId="19" fillId="11" borderId="1" xfId="139" applyFont="1" applyFill="1" applyBorder="1" applyAlignment="1" applyProtection="1">
      <alignment horizontal="center" vertical="center" wrapText="1"/>
      <protection hidden="1"/>
    </xf>
    <xf numFmtId="0" fontId="19" fillId="11" borderId="48" xfId="139" applyFont="1" applyFill="1" applyBorder="1" applyAlignment="1" applyProtection="1">
      <alignment vertical="center" wrapText="1"/>
      <protection hidden="1"/>
    </xf>
    <xf numFmtId="0" fontId="19" fillId="11" borderId="49" xfId="139" applyFont="1" applyFill="1" applyBorder="1" applyAlignment="1" applyProtection="1">
      <alignment horizontal="center" vertical="center" wrapText="1"/>
      <protection hidden="1"/>
    </xf>
    <xf numFmtId="0" fontId="35" fillId="11" borderId="49" xfId="139" applyFont="1" applyFill="1" applyBorder="1" applyAlignment="1" applyProtection="1">
      <alignment horizontal="justify" vertical="center" wrapText="1"/>
      <protection hidden="1"/>
    </xf>
    <xf numFmtId="186" fontId="35" fillId="11" borderId="49" xfId="139" applyNumberFormat="1" applyFont="1" applyFill="1" applyBorder="1" applyAlignment="1" applyProtection="1">
      <alignment horizontal="justify" vertical="center" wrapText="1"/>
      <protection hidden="1"/>
    </xf>
    <xf numFmtId="186" fontId="19" fillId="11" borderId="50" xfId="139" applyNumberFormat="1" applyFont="1" applyFill="1" applyBorder="1" applyAlignment="1" applyProtection="1">
      <alignment horizontal="right" vertical="center" wrapText="1"/>
      <protection hidden="1"/>
    </xf>
    <xf numFmtId="186" fontId="19" fillId="11" borderId="0" xfId="139" applyNumberFormat="1" applyFont="1" applyFill="1" applyAlignment="1" applyProtection="1">
      <alignment horizontal="center" vertical="center" wrapText="1"/>
      <protection hidden="1"/>
    </xf>
    <xf numFmtId="0" fontId="35" fillId="0" borderId="10" xfId="139" applyFont="1" applyBorder="1" applyAlignment="1" applyProtection="1">
      <alignment horizontal="center" vertical="center" wrapText="1"/>
      <protection hidden="1"/>
    </xf>
    <xf numFmtId="0" fontId="35" fillId="0" borderId="5" xfId="139" applyFont="1" applyBorder="1" applyAlignment="1" applyProtection="1">
      <alignment horizontal="center" vertical="center" wrapText="1"/>
      <protection hidden="1"/>
    </xf>
    <xf numFmtId="0" fontId="35" fillId="0" borderId="5" xfId="139" applyFont="1" applyBorder="1" applyAlignment="1" applyProtection="1">
      <alignment horizontal="justify" vertical="center" wrapText="1"/>
      <protection hidden="1"/>
    </xf>
    <xf numFmtId="183" fontId="35" fillId="0" borderId="5" xfId="139" applyNumberFormat="1" applyFont="1" applyBorder="1" applyAlignment="1" applyProtection="1">
      <alignment horizontal="center" vertical="center" wrapText="1"/>
      <protection hidden="1"/>
    </xf>
    <xf numFmtId="186" fontId="35" fillId="0" borderId="5" xfId="139" applyNumberFormat="1" applyFont="1" applyBorder="1" applyAlignment="1" applyProtection="1">
      <alignment horizontal="center" vertical="center" wrapText="1"/>
      <protection hidden="1"/>
    </xf>
    <xf numFmtId="187" fontId="35" fillId="0" borderId="11" xfId="139" applyNumberFormat="1" applyFont="1" applyBorder="1" applyAlignment="1" applyProtection="1">
      <alignment horizontal="center" vertical="center" wrapText="1"/>
      <protection hidden="1"/>
    </xf>
    <xf numFmtId="187" fontId="35" fillId="0" borderId="0" xfId="139" applyNumberFormat="1" applyFont="1" applyAlignment="1" applyProtection="1">
      <alignment horizontal="center" vertical="center" wrapText="1"/>
      <protection hidden="1"/>
    </xf>
    <xf numFmtId="186" fontId="35" fillId="0" borderId="0" xfId="142" applyNumberFormat="1" applyFont="1" applyAlignment="1" applyProtection="1">
      <alignment horizontal="justify" vertical="center" wrapText="1"/>
      <protection hidden="1"/>
    </xf>
    <xf numFmtId="0" fontId="35" fillId="0" borderId="12" xfId="139" applyFont="1" applyBorder="1" applyAlignment="1" applyProtection="1">
      <alignment horizontal="center" vertical="center" wrapText="1"/>
      <protection hidden="1"/>
    </xf>
    <xf numFmtId="0" fontId="35" fillId="0" borderId="0" xfId="139" applyFont="1" applyAlignment="1" applyProtection="1">
      <alignment horizontal="center" vertical="center" wrapText="1"/>
      <protection hidden="1"/>
    </xf>
    <xf numFmtId="0" fontId="35" fillId="0" borderId="0" xfId="139" applyFont="1" applyAlignment="1" applyProtection="1">
      <alignment horizontal="justify" vertical="center" wrapText="1"/>
      <protection hidden="1"/>
    </xf>
    <xf numFmtId="183" fontId="35" fillId="0" borderId="0" xfId="139" applyNumberFormat="1" applyFont="1" applyAlignment="1" applyProtection="1">
      <alignment horizontal="center" vertical="center" wrapText="1"/>
      <protection hidden="1"/>
    </xf>
    <xf numFmtId="186" fontId="35" fillId="0" borderId="0" xfId="139" applyNumberFormat="1" applyFont="1" applyAlignment="1" applyProtection="1">
      <alignment horizontal="center" vertical="center" wrapText="1"/>
      <protection hidden="1"/>
    </xf>
    <xf numFmtId="187" fontId="35" fillId="0" borderId="8" xfId="139" applyNumberFormat="1" applyFont="1" applyBorder="1" applyAlignment="1" applyProtection="1">
      <alignment horizontal="center" vertical="center" wrapText="1"/>
      <protection hidden="1"/>
    </xf>
    <xf numFmtId="0" fontId="35" fillId="0" borderId="13" xfId="139" applyFont="1" applyBorder="1" applyAlignment="1" applyProtection="1">
      <alignment horizontal="center" vertical="center" wrapText="1"/>
      <protection hidden="1"/>
    </xf>
    <xf numFmtId="0" fontId="35" fillId="0" borderId="2" xfId="139" applyFont="1" applyBorder="1" applyAlignment="1" applyProtection="1">
      <alignment horizontal="center" vertical="center" wrapText="1"/>
      <protection hidden="1"/>
    </xf>
    <xf numFmtId="0" fontId="35" fillId="0" borderId="2" xfId="139" applyFont="1" applyBorder="1" applyAlignment="1" applyProtection="1">
      <alignment horizontal="justify" vertical="center" wrapText="1"/>
      <protection hidden="1"/>
    </xf>
    <xf numFmtId="183" fontId="35" fillId="0" borderId="2" xfId="139" applyNumberFormat="1" applyFont="1" applyBorder="1" applyAlignment="1" applyProtection="1">
      <alignment horizontal="center" vertical="center" wrapText="1"/>
      <protection hidden="1"/>
    </xf>
    <xf numFmtId="186" fontId="35" fillId="0" borderId="2" xfId="139" applyNumberFormat="1" applyFont="1" applyBorder="1" applyAlignment="1" applyProtection="1">
      <alignment horizontal="center" vertical="center" wrapText="1"/>
      <protection hidden="1"/>
    </xf>
    <xf numFmtId="187" fontId="35" fillId="0" borderId="9" xfId="139" applyNumberFormat="1" applyFont="1" applyBorder="1" applyAlignment="1" applyProtection="1">
      <alignment horizontal="center" vertical="center" wrapText="1"/>
      <protection hidden="1"/>
    </xf>
    <xf numFmtId="0" fontId="19" fillId="11" borderId="46" xfId="139" applyFont="1" applyFill="1" applyBorder="1" applyAlignment="1" applyProtection="1">
      <alignment horizontal="center" vertical="center" wrapText="1"/>
      <protection hidden="1"/>
    </xf>
    <xf numFmtId="0" fontId="40" fillId="2" borderId="0" xfId="139" applyFont="1" applyFill="1" applyAlignment="1">
      <alignment horizontal="center" vertical="center" wrapText="1"/>
    </xf>
    <xf numFmtId="0" fontId="40" fillId="2" borderId="0" xfId="139" applyFont="1" applyFill="1" applyAlignment="1">
      <alignment horizontal="justify" vertical="center" wrapText="1"/>
    </xf>
    <xf numFmtId="187" fontId="40" fillId="0" borderId="0" xfId="139" applyNumberFormat="1" applyFont="1" applyAlignment="1" applyProtection="1">
      <alignment horizontal="center" vertical="center" wrapText="1"/>
      <protection hidden="1"/>
    </xf>
    <xf numFmtId="186" fontId="40" fillId="0" borderId="0" xfId="142" applyNumberFormat="1" applyFont="1" applyAlignment="1" applyProtection="1">
      <alignment horizontal="justify" vertical="center" wrapText="1"/>
      <protection hidden="1"/>
    </xf>
    <xf numFmtId="0" fontId="40" fillId="0" borderId="0" xfId="139" applyFont="1" applyAlignment="1" applyProtection="1">
      <alignment horizontal="center" vertical="center" wrapText="1"/>
      <protection hidden="1"/>
    </xf>
    <xf numFmtId="0" fontId="40" fillId="0" borderId="0" xfId="139" applyFont="1" applyAlignment="1" applyProtection="1">
      <alignment horizontal="justify" vertical="center" wrapText="1"/>
      <protection hidden="1"/>
    </xf>
    <xf numFmtId="183" fontId="40" fillId="0" borderId="0" xfId="139" applyNumberFormat="1" applyFont="1" applyAlignment="1" applyProtection="1">
      <alignment horizontal="center" vertical="center" wrapText="1"/>
      <protection hidden="1"/>
    </xf>
    <xf numFmtId="186" fontId="40" fillId="0" borderId="0" xfId="139" applyNumberFormat="1" applyFont="1" applyAlignment="1" applyProtection="1">
      <alignment horizontal="center" vertical="center" wrapText="1"/>
      <protection hidden="1"/>
    </xf>
    <xf numFmtId="0" fontId="19" fillId="11" borderId="51" xfId="139" applyFont="1" applyFill="1" applyBorder="1" applyAlignment="1" applyProtection="1">
      <alignment horizontal="center" vertical="center" wrapText="1"/>
      <protection hidden="1"/>
    </xf>
    <xf numFmtId="0" fontId="19" fillId="11" borderId="54" xfId="139" applyFont="1" applyFill="1" applyBorder="1" applyAlignment="1" applyProtection="1">
      <alignment horizontal="center" vertical="center" wrapText="1"/>
      <protection hidden="1"/>
    </xf>
    <xf numFmtId="0" fontId="35" fillId="11" borderId="54" xfId="139" applyFont="1" applyFill="1" applyBorder="1" applyAlignment="1" applyProtection="1">
      <alignment horizontal="justify" vertical="center" wrapText="1"/>
      <protection hidden="1"/>
    </xf>
    <xf numFmtId="186" fontId="35" fillId="11" borderId="54" xfId="139" applyNumberFormat="1" applyFont="1" applyFill="1" applyBorder="1" applyAlignment="1" applyProtection="1">
      <alignment horizontal="justify" vertical="center" wrapText="1"/>
      <protection hidden="1"/>
    </xf>
    <xf numFmtId="186" fontId="19" fillId="11" borderId="55" xfId="139" applyNumberFormat="1" applyFont="1" applyFill="1" applyBorder="1" applyAlignment="1" applyProtection="1">
      <alignment horizontal="right" vertical="center" wrapText="1"/>
      <protection hidden="1"/>
    </xf>
    <xf numFmtId="0" fontId="35" fillId="2" borderId="10" xfId="139" applyFont="1" applyFill="1" applyBorder="1" applyAlignment="1">
      <alignment horizontal="justify" vertical="center" wrapText="1"/>
    </xf>
    <xf numFmtId="187" fontId="35" fillId="0" borderId="5" xfId="139" applyNumberFormat="1" applyFont="1" applyBorder="1" applyAlignment="1" applyProtection="1">
      <alignment horizontal="center" vertical="center" wrapText="1"/>
      <protection hidden="1"/>
    </xf>
    <xf numFmtId="0" fontId="35" fillId="2" borderId="5" xfId="139" applyFont="1" applyFill="1" applyBorder="1" applyAlignment="1">
      <alignment horizontal="center" vertical="center" wrapText="1"/>
    </xf>
    <xf numFmtId="0" fontId="35" fillId="2" borderId="5" xfId="139" applyFont="1" applyFill="1" applyBorder="1" applyAlignment="1">
      <alignment horizontal="justify" vertical="center" wrapText="1"/>
    </xf>
    <xf numFmtId="186" fontId="35" fillId="0" borderId="5" xfId="142" applyNumberFormat="1" applyFont="1" applyBorder="1" applyAlignment="1" applyProtection="1">
      <alignment horizontal="justify" vertical="center" wrapText="1"/>
      <protection hidden="1"/>
    </xf>
    <xf numFmtId="0" fontId="35" fillId="2" borderId="12" xfId="139" applyFont="1" applyFill="1" applyBorder="1" applyAlignment="1">
      <alignment horizontal="justify" vertical="center" wrapText="1"/>
    </xf>
    <xf numFmtId="0" fontId="35" fillId="2" borderId="13" xfId="139" applyFont="1" applyFill="1" applyBorder="1" applyAlignment="1">
      <alignment horizontal="justify" vertical="center" wrapText="1"/>
    </xf>
    <xf numFmtId="187" fontId="35" fillId="0" borderId="2" xfId="139" applyNumberFormat="1" applyFont="1" applyBorder="1" applyAlignment="1" applyProtection="1">
      <alignment horizontal="center" vertical="center" wrapText="1"/>
      <protection hidden="1"/>
    </xf>
    <xf numFmtId="0" fontId="35" fillId="2" borderId="2" xfId="139" applyFont="1" applyFill="1" applyBorder="1" applyAlignment="1">
      <alignment horizontal="center" vertical="center" wrapText="1"/>
    </xf>
    <xf numFmtId="0" fontId="35" fillId="2" borderId="2" xfId="139" applyFont="1" applyFill="1" applyBorder="1" applyAlignment="1">
      <alignment horizontal="justify" vertical="center" wrapText="1"/>
    </xf>
    <xf numFmtId="186" fontId="35" fillId="0" borderId="2" xfId="142" applyNumberFormat="1" applyFont="1" applyBorder="1" applyAlignment="1" applyProtection="1">
      <alignment horizontal="justify" vertical="center" wrapText="1"/>
      <protection hidden="1"/>
    </xf>
    <xf numFmtId="2" fontId="19" fillId="11" borderId="51" xfId="139" applyNumberFormat="1" applyFont="1" applyFill="1" applyBorder="1" applyAlignment="1" applyProtection="1">
      <alignment horizontal="center" vertical="center" wrapText="1"/>
      <protection hidden="1"/>
    </xf>
    <xf numFmtId="0" fontId="41" fillId="2" borderId="17" xfId="0" applyFont="1" applyFill="1" applyBorder="1" applyAlignment="1">
      <alignment vertical="center"/>
    </xf>
    <xf numFmtId="2" fontId="41" fillId="2" borderId="17" xfId="0" applyNumberFormat="1" applyFont="1" applyFill="1" applyBorder="1" applyAlignment="1">
      <alignment horizontal="center" vertical="center" wrapText="1"/>
    </xf>
    <xf numFmtId="2" fontId="41" fillId="2" borderId="17" xfId="99" applyNumberFormat="1" applyFont="1" applyFill="1" applyBorder="1" applyAlignment="1">
      <alignment horizontal="center" vertical="center" wrapText="1"/>
    </xf>
    <xf numFmtId="183" fontId="41" fillId="2" borderId="29" xfId="0" applyNumberFormat="1" applyFont="1" applyFill="1" applyBorder="1" applyAlignment="1">
      <alignment horizontal="center" vertical="center"/>
    </xf>
    <xf numFmtId="2" fontId="41" fillId="2" borderId="30" xfId="0" applyNumberFormat="1" applyFont="1" applyFill="1" applyBorder="1" applyAlignment="1">
      <alignment horizontal="center" vertical="center"/>
    </xf>
    <xf numFmtId="2" fontId="41" fillId="2" borderId="18" xfId="0" applyNumberFormat="1" applyFont="1" applyFill="1" applyBorder="1" applyAlignment="1">
      <alignment horizontal="center" vertical="center"/>
    </xf>
    <xf numFmtId="2" fontId="41" fillId="2" borderId="29" xfId="0" applyNumberFormat="1" applyFont="1" applyFill="1" applyBorder="1" applyAlignment="1">
      <alignment horizontal="center" vertical="center"/>
    </xf>
    <xf numFmtId="0" fontId="42" fillId="6" borderId="1" xfId="0" applyFont="1" applyFill="1" applyBorder="1" applyAlignment="1">
      <alignment horizontal="center" vertical="center" wrapText="1"/>
    </xf>
    <xf numFmtId="0" fontId="2" fillId="0" borderId="0" xfId="0" applyFont="1"/>
    <xf numFmtId="49" fontId="2" fillId="0" borderId="0" xfId="0" applyNumberFormat="1" applyFont="1"/>
    <xf numFmtId="49" fontId="2" fillId="0" borderId="5" xfId="0" applyNumberFormat="1" applyFont="1" applyBorder="1"/>
    <xf numFmtId="0" fontId="2" fillId="0" borderId="5" xfId="0" applyFont="1" applyBorder="1"/>
    <xf numFmtId="49" fontId="2" fillId="0" borderId="2" xfId="0" applyNumberFormat="1" applyFont="1" applyBorder="1"/>
    <xf numFmtId="0" fontId="2" fillId="0" borderId="2" xfId="0" applyFont="1" applyBorder="1"/>
    <xf numFmtId="41" fontId="2" fillId="0" borderId="0" xfId="132" applyFont="1"/>
    <xf numFmtId="0" fontId="14" fillId="0" borderId="0" xfId="0" applyFont="1" applyAlignment="1">
      <alignment vertical="center" wrapText="1"/>
    </xf>
    <xf numFmtId="0" fontId="44" fillId="3" borderId="1" xfId="0" applyFont="1" applyFill="1" applyBorder="1" applyAlignment="1">
      <alignment horizontal="center" vertical="center" wrapText="1"/>
    </xf>
    <xf numFmtId="178" fontId="47" fillId="2" borderId="9" xfId="0" applyNumberFormat="1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/>
    </xf>
    <xf numFmtId="164" fontId="45" fillId="0" borderId="1" xfId="0" applyNumberFormat="1" applyFont="1" applyBorder="1"/>
    <xf numFmtId="164" fontId="48" fillId="5" borderId="1" xfId="0" applyNumberFormat="1" applyFont="1" applyFill="1" applyBorder="1" applyAlignment="1">
      <alignment vertical="center"/>
    </xf>
    <xf numFmtId="2" fontId="13" fillId="2" borderId="17" xfId="0" applyNumberFormat="1" applyFont="1" applyFill="1" applyBorder="1" applyAlignment="1">
      <alignment horizontal="center" vertical="center"/>
    </xf>
    <xf numFmtId="0" fontId="1" fillId="0" borderId="0" xfId="146" applyAlignment="1">
      <alignment vertical="center"/>
    </xf>
    <xf numFmtId="0" fontId="1" fillId="0" borderId="0" xfId="146" applyAlignment="1">
      <alignment horizontal="center" vertical="center"/>
    </xf>
    <xf numFmtId="188" fontId="1" fillId="0" borderId="0" xfId="144" applyFont="1" applyAlignment="1">
      <alignment vertical="center"/>
    </xf>
    <xf numFmtId="190" fontId="1" fillId="0" borderId="0" xfId="146" applyNumberFormat="1" applyAlignment="1">
      <alignment vertical="center"/>
    </xf>
    <xf numFmtId="188" fontId="1" fillId="0" borderId="0" xfId="146" applyNumberFormat="1" applyAlignment="1">
      <alignment vertical="center"/>
    </xf>
    <xf numFmtId="0" fontId="49" fillId="7" borderId="1" xfId="146" applyFont="1" applyFill="1" applyBorder="1" applyAlignment="1">
      <alignment horizontal="center" vertical="center"/>
    </xf>
    <xf numFmtId="2" fontId="49" fillId="7" borderId="1" xfId="146" applyNumberFormat="1" applyFont="1" applyFill="1" applyBorder="1" applyAlignment="1">
      <alignment horizontal="center" vertical="center"/>
    </xf>
    <xf numFmtId="189" fontId="1" fillId="0" borderId="0" xfId="146" applyNumberFormat="1" applyAlignment="1">
      <alignment vertical="center"/>
    </xf>
    <xf numFmtId="0" fontId="50" fillId="7" borderId="1" xfId="146" applyFont="1" applyFill="1" applyBorder="1" applyAlignment="1">
      <alignment vertical="center"/>
    </xf>
    <xf numFmtId="188" fontId="50" fillId="0" borderId="1" xfId="144" applyFont="1" applyFill="1" applyBorder="1" applyAlignment="1">
      <alignment horizontal="center" vertical="center"/>
    </xf>
    <xf numFmtId="10" fontId="50" fillId="0" borderId="1" xfId="147" applyNumberFormat="1" applyFont="1" applyFill="1" applyBorder="1" applyAlignment="1">
      <alignment horizontal="center" vertical="center"/>
    </xf>
    <xf numFmtId="0" fontId="50" fillId="7" borderId="1" xfId="146" applyFont="1" applyFill="1" applyBorder="1" applyAlignment="1">
      <alignment horizontal="left" vertical="center"/>
    </xf>
    <xf numFmtId="0" fontId="50" fillId="7" borderId="1" xfId="146" applyFont="1" applyFill="1" applyBorder="1" applyAlignment="1">
      <alignment vertical="center" wrapText="1"/>
    </xf>
    <xf numFmtId="0" fontId="50" fillId="7" borderId="1" xfId="146" applyFont="1" applyFill="1" applyBorder="1" applyAlignment="1">
      <alignment horizontal="left" vertical="center" wrapText="1"/>
    </xf>
    <xf numFmtId="188" fontId="1" fillId="0" borderId="1" xfId="146" applyNumberFormat="1" applyBorder="1" applyAlignment="1">
      <alignment vertical="center"/>
    </xf>
    <xf numFmtId="9" fontId="1" fillId="0" borderId="1" xfId="146" applyNumberFormat="1" applyBorder="1" applyAlignment="1">
      <alignment horizontal="center" vertical="center"/>
    </xf>
    <xf numFmtId="10" fontId="1" fillId="0" borderId="0" xfId="147" applyNumberFormat="1" applyFont="1" applyAlignment="1">
      <alignment vertical="center"/>
    </xf>
    <xf numFmtId="188" fontId="50" fillId="7" borderId="1" xfId="144" applyFont="1" applyFill="1" applyBorder="1" applyAlignment="1">
      <alignment horizontal="center" vertical="center"/>
    </xf>
    <xf numFmtId="10" fontId="50" fillId="7" borderId="1" xfId="147" applyNumberFormat="1" applyFont="1" applyFill="1" applyBorder="1" applyAlignment="1">
      <alignment horizontal="center" vertical="center"/>
    </xf>
    <xf numFmtId="0" fontId="0" fillId="0" borderId="0" xfId="146" applyFont="1" applyAlignment="1">
      <alignment vertical="center"/>
    </xf>
    <xf numFmtId="0" fontId="0" fillId="0" borderId="0" xfId="146" applyFont="1" applyAlignment="1">
      <alignment horizontal="center" vertical="center"/>
    </xf>
    <xf numFmtId="43" fontId="1" fillId="0" borderId="0" xfId="138" applyAlignment="1">
      <alignment vertical="center"/>
    </xf>
    <xf numFmtId="170" fontId="1" fillId="0" borderId="0" xfId="1" applyAlignment="1">
      <alignment vertical="center"/>
    </xf>
    <xf numFmtId="170" fontId="50" fillId="7" borderId="1" xfId="1" applyFont="1" applyFill="1" applyBorder="1" applyAlignment="1">
      <alignment horizontal="left" vertical="center"/>
    </xf>
    <xf numFmtId="170" fontId="50" fillId="7" borderId="1" xfId="1" applyFont="1" applyFill="1" applyBorder="1" applyAlignment="1">
      <alignment horizontal="left" vertical="center" wrapText="1"/>
    </xf>
    <xf numFmtId="0" fontId="50" fillId="7" borderId="1" xfId="138" applyNumberFormat="1" applyFont="1" applyFill="1" applyBorder="1" applyAlignment="1">
      <alignment horizontal="center" vertical="center"/>
    </xf>
    <xf numFmtId="0" fontId="50" fillId="0" borderId="1" xfId="138" applyNumberFormat="1" applyFont="1" applyFill="1" applyBorder="1" applyAlignment="1">
      <alignment horizontal="center" vertical="center"/>
    </xf>
    <xf numFmtId="0" fontId="2" fillId="0" borderId="0" xfId="148" applyAlignment="1">
      <alignment horizontal="left"/>
    </xf>
    <xf numFmtId="0" fontId="2" fillId="0" borderId="0" xfId="148"/>
    <xf numFmtId="4" fontId="2" fillId="0" borderId="0" xfId="148" applyNumberFormat="1" applyAlignment="1">
      <alignment horizontal="center"/>
    </xf>
    <xf numFmtId="0" fontId="2" fillId="0" borderId="0" xfId="148" applyAlignment="1">
      <alignment horizontal="center"/>
    </xf>
    <xf numFmtId="4" fontId="2" fillId="0" borderId="0" xfId="148" applyNumberFormat="1"/>
    <xf numFmtId="3" fontId="2" fillId="0" borderId="0" xfId="148" applyNumberFormat="1"/>
    <xf numFmtId="17" fontId="2" fillId="0" borderId="0" xfId="148" applyNumberFormat="1"/>
    <xf numFmtId="4" fontId="2" fillId="0" borderId="56" xfId="148" applyNumberFormat="1" applyBorder="1" applyAlignment="1">
      <alignment horizontal="left"/>
    </xf>
    <xf numFmtId="0" fontId="2" fillId="0" borderId="57" xfId="148" applyBorder="1"/>
    <xf numFmtId="0" fontId="2" fillId="0" borderId="57" xfId="148" applyBorder="1" applyAlignment="1">
      <alignment horizontal="center"/>
    </xf>
    <xf numFmtId="4" fontId="2" fillId="0" borderId="57" xfId="148" applyNumberFormat="1" applyBorder="1"/>
    <xf numFmtId="191" fontId="28" fillId="10" borderId="58" xfId="148" applyNumberFormat="1" applyFont="1" applyFill="1" applyBorder="1"/>
    <xf numFmtId="10" fontId="2" fillId="0" borderId="0" xfId="148" applyNumberFormat="1"/>
    <xf numFmtId="192" fontId="2" fillId="0" borderId="0" xfId="148" applyNumberFormat="1"/>
    <xf numFmtId="4" fontId="2" fillId="0" borderId="0" xfId="148" applyNumberFormat="1" applyAlignment="1">
      <alignment horizontal="left"/>
    </xf>
    <xf numFmtId="4" fontId="28" fillId="10" borderId="59" xfId="148" applyNumberFormat="1" applyFont="1" applyFill="1" applyBorder="1"/>
    <xf numFmtId="4" fontId="2" fillId="0" borderId="60" xfId="148" applyNumberFormat="1" applyBorder="1" applyAlignment="1">
      <alignment horizontal="left"/>
    </xf>
    <xf numFmtId="0" fontId="2" fillId="0" borderId="61" xfId="148" applyBorder="1"/>
    <xf numFmtId="0" fontId="2" fillId="0" borderId="61" xfId="148" applyBorder="1" applyAlignment="1">
      <alignment horizontal="center"/>
    </xf>
    <xf numFmtId="4" fontId="2" fillId="0" borderId="61" xfId="148" applyNumberFormat="1" applyBorder="1"/>
    <xf numFmtId="4" fontId="28" fillId="10" borderId="62" xfId="148" applyNumberFormat="1" applyFont="1" applyFill="1" applyBorder="1" applyAlignment="1">
      <alignment horizontal="right"/>
    </xf>
    <xf numFmtId="4" fontId="28" fillId="0" borderId="63" xfId="148" applyNumberFormat="1" applyFont="1" applyBorder="1" applyAlignment="1">
      <alignment horizontal="center" vertical="center" wrapText="1"/>
    </xf>
    <xf numFmtId="0" fontId="28" fillId="0" borderId="63" xfId="148" applyFont="1" applyBorder="1" applyAlignment="1">
      <alignment horizontal="center" vertical="center" wrapText="1"/>
    </xf>
    <xf numFmtId="3" fontId="28" fillId="0" borderId="63" xfId="148" applyNumberFormat="1" applyFont="1" applyBorder="1" applyAlignment="1">
      <alignment horizontal="center" vertical="center" wrapText="1"/>
    </xf>
    <xf numFmtId="10" fontId="28" fillId="0" borderId="63" xfId="148" applyNumberFormat="1" applyFont="1" applyBorder="1" applyAlignment="1">
      <alignment horizontal="center" vertical="center" wrapText="1"/>
    </xf>
    <xf numFmtId="0" fontId="28" fillId="0" borderId="0" xfId="148" applyFont="1" applyAlignment="1">
      <alignment horizontal="left" vertical="center" wrapText="1"/>
    </xf>
    <xf numFmtId="0" fontId="28" fillId="0" borderId="0" xfId="148" applyFont="1" applyAlignment="1">
      <alignment horizontal="center" vertical="center" wrapText="1"/>
    </xf>
    <xf numFmtId="4" fontId="28" fillId="0" borderId="64" xfId="148" applyNumberFormat="1" applyFont="1" applyBorder="1" applyAlignment="1">
      <alignment horizontal="center"/>
    </xf>
    <xf numFmtId="0" fontId="28" fillId="10" borderId="65" xfId="148" applyFont="1" applyFill="1" applyBorder="1" applyAlignment="1">
      <alignment horizontal="center" vertical="center" wrapText="1"/>
    </xf>
    <xf numFmtId="0" fontId="2" fillId="0" borderId="65" xfId="148" applyBorder="1" applyAlignment="1">
      <alignment horizontal="center"/>
    </xf>
    <xf numFmtId="4" fontId="2" fillId="0" borderId="65" xfId="148" applyNumberFormat="1" applyBorder="1"/>
    <xf numFmtId="3" fontId="2" fillId="0" borderId="65" xfId="148" applyNumberFormat="1" applyBorder="1"/>
    <xf numFmtId="0" fontId="2" fillId="0" borderId="65" xfId="148" applyBorder="1"/>
    <xf numFmtId="10" fontId="28" fillId="10" borderId="66" xfId="148" applyNumberFormat="1" applyFont="1" applyFill="1" applyBorder="1"/>
    <xf numFmtId="4" fontId="28" fillId="0" borderId="67" xfId="148" applyNumberFormat="1" applyFont="1" applyBorder="1" applyAlignment="1">
      <alignment horizontal="center"/>
    </xf>
    <xf numFmtId="0" fontId="28" fillId="0" borderId="1" xfId="148" applyFont="1" applyBorder="1" applyAlignment="1">
      <alignment horizontal="center"/>
    </xf>
    <xf numFmtId="0" fontId="2" fillId="0" borderId="1" xfId="148" applyBorder="1" applyAlignment="1">
      <alignment horizontal="center"/>
    </xf>
    <xf numFmtId="4" fontId="2" fillId="0" borderId="1" xfId="148" applyNumberFormat="1" applyBorder="1"/>
    <xf numFmtId="3" fontId="2" fillId="0" borderId="1" xfId="148" applyNumberFormat="1" applyBorder="1"/>
    <xf numFmtId="0" fontId="2" fillId="0" borderId="1" xfId="148" applyBorder="1"/>
    <xf numFmtId="3" fontId="28" fillId="0" borderId="1" xfId="148" applyNumberFormat="1" applyFont="1" applyBorder="1"/>
    <xf numFmtId="10" fontId="28" fillId="0" borderId="68" xfId="148" applyNumberFormat="1" applyFont="1" applyBorder="1"/>
    <xf numFmtId="10" fontId="2" fillId="0" borderId="0" xfId="148" applyNumberFormat="1" applyAlignment="1">
      <alignment horizontal="left"/>
    </xf>
    <xf numFmtId="9" fontId="2" fillId="0" borderId="1" xfId="82" applyFont="1" applyBorder="1"/>
    <xf numFmtId="10" fontId="2" fillId="0" borderId="1" xfId="148" applyNumberFormat="1" applyBorder="1"/>
    <xf numFmtId="10" fontId="2" fillId="0" borderId="68" xfId="148" applyNumberFormat="1" applyBorder="1"/>
    <xf numFmtId="0" fontId="28" fillId="10" borderId="1" xfId="148" applyFont="1" applyFill="1" applyBorder="1" applyAlignment="1">
      <alignment horizontal="center"/>
    </xf>
    <xf numFmtId="10" fontId="28" fillId="10" borderId="68" xfId="148" applyNumberFormat="1" applyFont="1" applyFill="1" applyBorder="1"/>
    <xf numFmtId="193" fontId="2" fillId="0" borderId="1" xfId="148" applyNumberFormat="1" applyBorder="1"/>
    <xf numFmtId="189" fontId="2" fillId="0" borderId="1" xfId="148" applyNumberFormat="1" applyBorder="1"/>
    <xf numFmtId="4" fontId="2" fillId="0" borderId="67" xfId="148" applyNumberFormat="1" applyBorder="1" applyAlignment="1">
      <alignment horizontal="center"/>
    </xf>
    <xf numFmtId="4" fontId="2" fillId="8" borderId="69" xfId="148" applyNumberFormat="1" applyFill="1" applyBorder="1" applyAlignment="1">
      <alignment horizontal="center"/>
    </xf>
    <xf numFmtId="0" fontId="28" fillId="8" borderId="70" xfId="148" applyFont="1" applyFill="1" applyBorder="1"/>
    <xf numFmtId="0" fontId="2" fillId="8" borderId="70" xfId="148" applyFill="1" applyBorder="1" applyAlignment="1">
      <alignment horizontal="center"/>
    </xf>
    <xf numFmtId="4" fontId="2" fillId="8" borderId="70" xfId="148" applyNumberFormat="1" applyFill="1" applyBorder="1"/>
    <xf numFmtId="3" fontId="2" fillId="8" borderId="70" xfId="148" applyNumberFormat="1" applyFill="1" applyBorder="1"/>
    <xf numFmtId="0" fontId="2" fillId="8" borderId="70" xfId="148" applyFill="1" applyBorder="1"/>
    <xf numFmtId="3" fontId="2" fillId="8" borderId="71" xfId="148" applyNumberFormat="1" applyFill="1" applyBorder="1"/>
    <xf numFmtId="191" fontId="28" fillId="8" borderId="63" xfId="148" applyNumberFormat="1" applyFont="1" applyFill="1" applyBorder="1"/>
    <xf numFmtId="10" fontId="28" fillId="8" borderId="63" xfId="148" applyNumberFormat="1" applyFont="1" applyFill="1" applyBorder="1"/>
    <xf numFmtId="4" fontId="2" fillId="0" borderId="64" xfId="148" applyNumberFormat="1" applyBorder="1" applyAlignment="1">
      <alignment horizontal="center"/>
    </xf>
    <xf numFmtId="0" fontId="28" fillId="0" borderId="65" xfId="148" applyFont="1" applyBorder="1"/>
    <xf numFmtId="10" fontId="2" fillId="0" borderId="66" xfId="148" applyNumberFormat="1" applyBorder="1"/>
    <xf numFmtId="0" fontId="28" fillId="0" borderId="1" xfId="148" applyFont="1" applyBorder="1"/>
    <xf numFmtId="10" fontId="28" fillId="0" borderId="1" xfId="148" applyNumberFormat="1" applyFont="1" applyBorder="1"/>
    <xf numFmtId="0" fontId="2" fillId="0" borderId="0" xfId="149" applyFont="1"/>
    <xf numFmtId="4" fontId="28" fillId="0" borderId="0" xfId="148" applyNumberFormat="1" applyFont="1" applyAlignment="1">
      <alignment horizontal="center" vertical="center" wrapText="1"/>
    </xf>
    <xf numFmtId="3" fontId="28" fillId="0" borderId="0" xfId="148" applyNumberFormat="1" applyFont="1" applyAlignment="1">
      <alignment horizontal="center" vertical="center" wrapText="1"/>
    </xf>
    <xf numFmtId="10" fontId="28" fillId="0" borderId="0" xfId="148" applyNumberFormat="1" applyFont="1" applyAlignment="1">
      <alignment horizontal="center" vertical="center" wrapText="1"/>
    </xf>
    <xf numFmtId="0" fontId="2" fillId="0" borderId="72" xfId="148" applyBorder="1"/>
    <xf numFmtId="0" fontId="2" fillId="0" borderId="72" xfId="148" applyBorder="1" applyAlignment="1">
      <alignment horizontal="center"/>
    </xf>
    <xf numFmtId="191" fontId="2" fillId="0" borderId="72" xfId="148" applyNumberFormat="1" applyBorder="1"/>
    <xf numFmtId="10" fontId="2" fillId="0" borderId="72" xfId="148" applyNumberFormat="1" applyBorder="1"/>
    <xf numFmtId="0" fontId="2" fillId="0" borderId="73" xfId="148" applyBorder="1"/>
    <xf numFmtId="0" fontId="2" fillId="0" borderId="73" xfId="148" applyBorder="1" applyAlignment="1">
      <alignment horizontal="center"/>
    </xf>
    <xf numFmtId="191" fontId="2" fillId="0" borderId="73" xfId="148" applyNumberFormat="1" applyBorder="1"/>
    <xf numFmtId="10" fontId="2" fillId="0" borderId="73" xfId="148" applyNumberFormat="1" applyBorder="1"/>
    <xf numFmtId="10" fontId="2" fillId="12" borderId="73" xfId="148" applyNumberFormat="1" applyFill="1" applyBorder="1"/>
    <xf numFmtId="0" fontId="2" fillId="0" borderId="74" xfId="148" applyBorder="1"/>
    <xf numFmtId="0" fontId="2" fillId="0" borderId="74" xfId="148" applyBorder="1" applyAlignment="1">
      <alignment horizontal="center"/>
    </xf>
    <xf numFmtId="191" fontId="2" fillId="0" borderId="74" xfId="148" applyNumberFormat="1" applyBorder="1"/>
    <xf numFmtId="10" fontId="2" fillId="0" borderId="74" xfId="148" applyNumberFormat="1" applyBorder="1"/>
    <xf numFmtId="2" fontId="35" fillId="0" borderId="5" xfId="139" applyNumberFormat="1" applyFont="1" applyBorder="1" applyAlignment="1" applyProtection="1">
      <alignment horizontal="center" vertical="center" wrapText="1"/>
      <protection hidden="1"/>
    </xf>
    <xf numFmtId="2" fontId="35" fillId="0" borderId="0" xfId="139" applyNumberFormat="1" applyFont="1" applyAlignment="1" applyProtection="1">
      <alignment horizontal="center" vertical="center" wrapText="1"/>
      <protection hidden="1"/>
    </xf>
    <xf numFmtId="2" fontId="35" fillId="0" borderId="2" xfId="139" applyNumberFormat="1" applyFont="1" applyBorder="1" applyAlignment="1" applyProtection="1">
      <alignment horizontal="center" vertical="center" wrapText="1"/>
      <protection hidden="1"/>
    </xf>
    <xf numFmtId="2" fontId="2" fillId="0" borderId="0" xfId="0" applyNumberFormat="1" applyFont="1"/>
    <xf numFmtId="1" fontId="11" fillId="2" borderId="1" xfId="0" applyNumberFormat="1" applyFont="1" applyFill="1" applyBorder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 wrapText="1"/>
    </xf>
    <xf numFmtId="0" fontId="46" fillId="2" borderId="8" xfId="0" applyFont="1" applyFill="1" applyBorder="1" applyAlignment="1">
      <alignment horizontal="center" vertical="center" wrapText="1"/>
    </xf>
    <xf numFmtId="0" fontId="44" fillId="3" borderId="1" xfId="0" applyFont="1" applyFill="1" applyBorder="1" applyAlignment="1">
      <alignment horizontal="center" vertical="center" wrapText="1"/>
    </xf>
    <xf numFmtId="0" fontId="53" fillId="2" borderId="0" xfId="0" applyFont="1" applyFill="1" applyAlignment="1">
      <alignment vertical="center"/>
    </xf>
    <xf numFmtId="170" fontId="53" fillId="2" borderId="0" xfId="1" applyFont="1" applyFill="1" applyAlignment="1">
      <alignment vertical="center"/>
    </xf>
    <xf numFmtId="0" fontId="54" fillId="2" borderId="0" xfId="0" applyFont="1" applyFill="1" applyAlignment="1">
      <alignment horizontal="center" vertical="center" wrapText="1"/>
    </xf>
    <xf numFmtId="0" fontId="47" fillId="2" borderId="12" xfId="0" applyFont="1" applyFill="1" applyBorder="1" applyAlignment="1">
      <alignment vertical="center"/>
    </xf>
    <xf numFmtId="0" fontId="47" fillId="2" borderId="0" xfId="0" applyFont="1" applyFill="1" applyAlignment="1">
      <alignment vertical="center"/>
    </xf>
    <xf numFmtId="0" fontId="47" fillId="2" borderId="0" xfId="0" applyFont="1" applyFill="1" applyAlignment="1">
      <alignment horizontal="center" vertical="center"/>
    </xf>
    <xf numFmtId="0" fontId="53" fillId="2" borderId="0" xfId="0" applyFont="1" applyFill="1" applyAlignment="1">
      <alignment horizontal="center" vertical="center"/>
    </xf>
    <xf numFmtId="0" fontId="47" fillId="2" borderId="0" xfId="0" applyFont="1" applyFill="1" applyAlignment="1">
      <alignment horizontal="right" vertical="center"/>
    </xf>
    <xf numFmtId="0" fontId="47" fillId="2" borderId="8" xfId="0" applyFont="1" applyFill="1" applyBorder="1" applyAlignment="1">
      <alignment horizontal="right" vertical="center"/>
    </xf>
    <xf numFmtId="0" fontId="55" fillId="2" borderId="13" xfId="0" applyFont="1" applyFill="1" applyBorder="1" applyAlignment="1">
      <alignment horizontal="center" vertical="center" wrapText="1"/>
    </xf>
    <xf numFmtId="0" fontId="55" fillId="2" borderId="2" xfId="0" applyFont="1" applyFill="1" applyBorder="1" applyAlignment="1">
      <alignment horizontal="center" vertical="center" wrapText="1"/>
    </xf>
    <xf numFmtId="0" fontId="48" fillId="2" borderId="2" xfId="0" applyFont="1" applyFill="1" applyBorder="1" applyAlignment="1">
      <alignment horizontal="center" vertical="center" wrapText="1"/>
    </xf>
    <xf numFmtId="0" fontId="56" fillId="2" borderId="2" xfId="0" applyFont="1" applyFill="1" applyBorder="1" applyAlignment="1">
      <alignment horizontal="right" vertical="center" wrapText="1"/>
    </xf>
    <xf numFmtId="2" fontId="44" fillId="4" borderId="3" xfId="0" applyNumberFormat="1" applyFont="1" applyFill="1" applyBorder="1" applyAlignment="1">
      <alignment horizontal="center" vertical="center" wrapText="1"/>
    </xf>
    <xf numFmtId="0" fontId="44" fillId="4" borderId="3" xfId="0" applyFont="1" applyFill="1" applyBorder="1" applyAlignment="1">
      <alignment vertical="center" wrapText="1"/>
    </xf>
    <xf numFmtId="0" fontId="44" fillId="4" borderId="4" xfId="0" applyFont="1" applyFill="1" applyBorder="1" applyAlignment="1">
      <alignment horizontal="center" vertical="center" wrapText="1"/>
    </xf>
    <xf numFmtId="0" fontId="44" fillId="4" borderId="4" xfId="0" applyFont="1" applyFill="1" applyBorder="1" applyAlignment="1">
      <alignment horizontal="right" vertical="center" wrapText="1"/>
    </xf>
    <xf numFmtId="170" fontId="44" fillId="4" borderId="14" xfId="0" applyNumberFormat="1" applyFont="1" applyFill="1" applyBorder="1" applyAlignment="1">
      <alignment horizontal="right" vertical="center" wrapText="1"/>
    </xf>
    <xf numFmtId="0" fontId="53" fillId="2" borderId="1" xfId="0" applyFont="1" applyFill="1" applyBorder="1" applyAlignment="1">
      <alignment horizontal="center" vertical="center" wrapText="1"/>
    </xf>
    <xf numFmtId="0" fontId="53" fillId="2" borderId="7" xfId="1" applyNumberFormat="1" applyFont="1" applyFill="1" applyBorder="1" applyAlignment="1">
      <alignment horizontal="left" vertical="center" wrapText="1"/>
    </xf>
    <xf numFmtId="170" fontId="47" fillId="2" borderId="7" xfId="1" applyFont="1" applyFill="1" applyBorder="1" applyAlignment="1">
      <alignment horizontal="center" vertical="center" wrapText="1"/>
    </xf>
    <xf numFmtId="2" fontId="53" fillId="2" borderId="1" xfId="0" applyNumberFormat="1" applyFont="1" applyFill="1" applyBorder="1" applyAlignment="1">
      <alignment horizontal="center" vertical="center" wrapText="1"/>
    </xf>
    <xf numFmtId="170" fontId="53" fillId="2" borderId="7" xfId="1" applyFont="1" applyFill="1" applyBorder="1" applyAlignment="1">
      <alignment horizontal="center" vertical="center" wrapText="1"/>
    </xf>
    <xf numFmtId="170" fontId="53" fillId="2" borderId="1" xfId="1" applyFont="1" applyFill="1" applyBorder="1" applyAlignment="1">
      <alignment horizontal="right" vertical="center" wrapText="1"/>
    </xf>
    <xf numFmtId="14" fontId="53" fillId="2" borderId="0" xfId="0" applyNumberFormat="1" applyFont="1" applyFill="1" applyAlignment="1">
      <alignment vertical="center"/>
    </xf>
    <xf numFmtId="43" fontId="53" fillId="2" borderId="0" xfId="138" applyFont="1" applyFill="1" applyAlignment="1">
      <alignment vertical="center"/>
    </xf>
    <xf numFmtId="2" fontId="47" fillId="2" borderId="1" xfId="0" applyNumberFormat="1" applyFont="1" applyFill="1" applyBorder="1" applyAlignment="1">
      <alignment horizontal="center" vertical="center" wrapText="1"/>
    </xf>
    <xf numFmtId="170" fontId="53" fillId="2" borderId="0" xfId="0" applyNumberFormat="1" applyFont="1" applyFill="1" applyAlignment="1">
      <alignment horizontal="right" vertical="center"/>
    </xf>
    <xf numFmtId="170" fontId="44" fillId="4" borderId="1" xfId="0" applyNumberFormat="1" applyFont="1" applyFill="1" applyBorder="1" applyAlignment="1">
      <alignment horizontal="right" vertical="center"/>
    </xf>
    <xf numFmtId="0" fontId="53" fillId="2" borderId="0" xfId="0" applyFont="1" applyFill="1" applyAlignment="1">
      <alignment horizontal="right" vertical="center"/>
    </xf>
    <xf numFmtId="0" fontId="53" fillId="2" borderId="3" xfId="0" applyFont="1" applyFill="1" applyBorder="1" applyAlignment="1">
      <alignment vertical="center"/>
    </xf>
    <xf numFmtId="170" fontId="53" fillId="2" borderId="4" xfId="0" applyNumberFormat="1" applyFont="1" applyFill="1" applyBorder="1" applyAlignment="1">
      <alignment horizontal="right" vertical="center"/>
    </xf>
    <xf numFmtId="170" fontId="47" fillId="2" borderId="14" xfId="0" applyNumberFormat="1" applyFont="1" applyFill="1" applyBorder="1" applyAlignment="1">
      <alignment horizontal="right" vertical="center"/>
    </xf>
    <xf numFmtId="170" fontId="53" fillId="2" borderId="1" xfId="0" applyNumberFormat="1" applyFont="1" applyFill="1" applyBorder="1" applyAlignment="1">
      <alignment horizontal="right" vertical="center"/>
    </xf>
    <xf numFmtId="10" fontId="47" fillId="2" borderId="7" xfId="108" applyNumberFormat="1" applyFont="1" applyFill="1" applyBorder="1" applyAlignment="1">
      <alignment horizontal="center" vertical="center"/>
    </xf>
    <xf numFmtId="182" fontId="47" fillId="2" borderId="7" xfId="0" applyNumberFormat="1" applyFont="1" applyFill="1" applyBorder="1" applyAlignment="1">
      <alignment vertical="center"/>
    </xf>
    <xf numFmtId="10" fontId="47" fillId="2" borderId="1" xfId="108" applyNumberFormat="1" applyFont="1" applyFill="1" applyBorder="1" applyAlignment="1">
      <alignment horizontal="center" vertical="center"/>
    </xf>
    <xf numFmtId="44" fontId="53" fillId="2" borderId="0" xfId="0" applyNumberFormat="1" applyFont="1" applyFill="1" applyAlignment="1">
      <alignment vertical="center"/>
    </xf>
    <xf numFmtId="170" fontId="48" fillId="9" borderId="1" xfId="1" applyFont="1" applyFill="1" applyBorder="1" applyAlignment="1">
      <alignment horizontal="right" vertical="center" wrapText="1"/>
    </xf>
    <xf numFmtId="0" fontId="47" fillId="2" borderId="5" xfId="137" applyFont="1" applyFill="1" applyBorder="1" applyAlignment="1">
      <alignment vertical="center"/>
    </xf>
    <xf numFmtId="0" fontId="44" fillId="2" borderId="5" xfId="137" applyFont="1" applyFill="1" applyBorder="1" applyAlignment="1">
      <alignment vertical="center" wrapText="1"/>
    </xf>
    <xf numFmtId="0" fontId="56" fillId="2" borderId="5" xfId="137" applyFont="1" applyFill="1" applyBorder="1" applyAlignment="1">
      <alignment vertical="center" wrapText="1"/>
    </xf>
    <xf numFmtId="0" fontId="47" fillId="2" borderId="11" xfId="40" applyFont="1" applyFill="1" applyBorder="1" applyAlignment="1">
      <alignment vertical="center"/>
    </xf>
    <xf numFmtId="0" fontId="47" fillId="2" borderId="0" xfId="40" applyFont="1" applyFill="1" applyAlignment="1">
      <alignment vertical="center"/>
    </xf>
    <xf numFmtId="170" fontId="47" fillId="2" borderId="0" xfId="1" applyFont="1" applyFill="1" applyAlignment="1">
      <alignment vertical="center"/>
    </xf>
    <xf numFmtId="181" fontId="47" fillId="2" borderId="0" xfId="135" applyNumberFormat="1" applyFont="1" applyFill="1" applyAlignment="1">
      <alignment vertical="center"/>
    </xf>
    <xf numFmtId="194" fontId="47" fillId="2" borderId="0" xfId="108" applyNumberFormat="1" applyFont="1" applyFill="1" applyAlignment="1">
      <alignment vertical="center"/>
    </xf>
    <xf numFmtId="0" fontId="47" fillId="2" borderId="0" xfId="135" applyFont="1" applyFill="1" applyAlignment="1">
      <alignment vertical="center"/>
    </xf>
    <xf numFmtId="43" fontId="47" fillId="2" borderId="0" xfId="138" applyFont="1" applyFill="1" applyAlignment="1">
      <alignment vertical="center"/>
    </xf>
    <xf numFmtId="0" fontId="47" fillId="2" borderId="0" xfId="40" applyFont="1" applyFill="1" applyAlignment="1">
      <alignment vertical="center" wrapText="1"/>
    </xf>
    <xf numFmtId="43" fontId="47" fillId="2" borderId="0" xfId="138" applyFont="1" applyFill="1" applyAlignment="1">
      <alignment vertical="center" wrapText="1"/>
    </xf>
    <xf numFmtId="0" fontId="47" fillId="2" borderId="0" xfId="135" applyFont="1" applyFill="1" applyAlignment="1">
      <alignment vertical="center" wrapText="1"/>
    </xf>
    <xf numFmtId="170" fontId="47" fillId="2" borderId="0" xfId="1" applyFont="1" applyFill="1" applyAlignment="1">
      <alignment vertical="center" wrapText="1"/>
    </xf>
    <xf numFmtId="0" fontId="47" fillId="2" borderId="0" xfId="0" applyFont="1" applyFill="1" applyAlignment="1">
      <alignment horizontal="left"/>
    </xf>
    <xf numFmtId="0" fontId="47" fillId="2" borderId="0" xfId="0" applyFont="1" applyFill="1"/>
    <xf numFmtId="0" fontId="53" fillId="2" borderId="0" xfId="0" applyFont="1" applyFill="1" applyAlignment="1">
      <alignment horizontal="left"/>
    </xf>
    <xf numFmtId="0" fontId="56" fillId="2" borderId="0" xfId="0" applyFont="1" applyFill="1"/>
    <xf numFmtId="0" fontId="44" fillId="2" borderId="0" xfId="0" applyFont="1" applyFill="1"/>
    <xf numFmtId="0" fontId="53" fillId="2" borderId="0" xfId="0" applyFont="1" applyFill="1"/>
    <xf numFmtId="0" fontId="20" fillId="2" borderId="12" xfId="133" applyFont="1" applyFill="1" applyBorder="1" applyAlignment="1">
      <alignment horizontal="justify" vertical="center" wrapText="1"/>
    </xf>
    <xf numFmtId="0" fontId="20" fillId="2" borderId="0" xfId="133" applyFont="1" applyFill="1" applyAlignment="1">
      <alignment horizontal="justify" vertical="center" wrapText="1"/>
    </xf>
    <xf numFmtId="0" fontId="20" fillId="2" borderId="8" xfId="133" applyFont="1" applyFill="1" applyBorder="1" applyAlignment="1">
      <alignment horizontal="justify" vertical="center" wrapText="1"/>
    </xf>
    <xf numFmtId="0" fontId="20" fillId="2" borderId="12" xfId="36" applyFont="1" applyFill="1" applyBorder="1" applyAlignment="1">
      <alignment horizontal="justify" vertical="center" wrapText="1"/>
    </xf>
    <xf numFmtId="0" fontId="20" fillId="2" borderId="0" xfId="36" applyFont="1" applyFill="1" applyAlignment="1">
      <alignment horizontal="justify" vertical="center" wrapText="1"/>
    </xf>
    <xf numFmtId="0" fontId="20" fillId="2" borderId="8" xfId="36" applyFont="1" applyFill="1" applyBorder="1" applyAlignment="1">
      <alignment horizontal="justify" vertical="center" wrapText="1"/>
    </xf>
    <xf numFmtId="0" fontId="17" fillId="2" borderId="12" xfId="133" applyFont="1" applyFill="1" applyBorder="1" applyAlignment="1">
      <alignment horizontal="justify" vertical="center" wrapText="1"/>
    </xf>
    <xf numFmtId="0" fontId="17" fillId="2" borderId="0" xfId="133" applyFont="1" applyFill="1" applyAlignment="1">
      <alignment horizontal="justify" vertical="center" wrapText="1"/>
    </xf>
    <xf numFmtId="0" fontId="17" fillId="2" borderId="8" xfId="133" applyFont="1" applyFill="1" applyBorder="1" applyAlignment="1">
      <alignment horizontal="justify" vertical="center" wrapText="1"/>
    </xf>
    <xf numFmtId="0" fontId="17" fillId="2" borderId="13" xfId="133" applyFont="1" applyFill="1" applyBorder="1" applyAlignment="1">
      <alignment horizontal="justify" vertical="center" wrapText="1"/>
    </xf>
    <xf numFmtId="0" fontId="17" fillId="2" borderId="2" xfId="133" applyFont="1" applyFill="1" applyBorder="1" applyAlignment="1">
      <alignment horizontal="justify" vertical="center" wrapText="1"/>
    </xf>
    <xf numFmtId="0" fontId="17" fillId="2" borderId="9" xfId="133" applyFont="1" applyFill="1" applyBorder="1" applyAlignment="1">
      <alignment horizontal="justify" vertical="center" wrapText="1"/>
    </xf>
    <xf numFmtId="170" fontId="11" fillId="2" borderId="4" xfId="0" applyNumberFormat="1" applyFont="1" applyFill="1" applyBorder="1" applyAlignment="1">
      <alignment horizontal="right" vertical="center"/>
    </xf>
    <xf numFmtId="170" fontId="11" fillId="2" borderId="14" xfId="0" applyNumberFormat="1" applyFont="1" applyFill="1" applyBorder="1" applyAlignment="1">
      <alignment horizontal="right" vertical="center"/>
    </xf>
    <xf numFmtId="0" fontId="12" fillId="4" borderId="1" xfId="101" applyFont="1" applyFill="1" applyBorder="1" applyAlignment="1">
      <alignment horizontal="right" vertical="center" wrapText="1"/>
    </xf>
    <xf numFmtId="0" fontId="29" fillId="2" borderId="0" xfId="0" applyFont="1" applyFill="1" applyAlignment="1">
      <alignment horizontal="right" vertical="center" wrapText="1"/>
    </xf>
    <xf numFmtId="0" fontId="29" fillId="2" borderId="8" xfId="0" applyFont="1" applyFill="1" applyBorder="1" applyAlignment="1">
      <alignment horizontal="right" vertical="center" wrapText="1"/>
    </xf>
    <xf numFmtId="0" fontId="2" fillId="2" borderId="10" xfId="137" applyFill="1" applyBorder="1" applyAlignment="1">
      <alignment horizontal="left" vertical="center"/>
    </xf>
    <xf numFmtId="0" fontId="2" fillId="2" borderId="5" xfId="137" applyFill="1" applyBorder="1" applyAlignment="1">
      <alignment horizontal="left" vertical="center"/>
    </xf>
    <xf numFmtId="0" fontId="28" fillId="2" borderId="13" xfId="137" applyFont="1" applyFill="1" applyBorder="1" applyAlignment="1">
      <alignment horizontal="center" vertical="center" wrapText="1"/>
    </xf>
    <xf numFmtId="0" fontId="28" fillId="2" borderId="2" xfId="137" applyFont="1" applyFill="1" applyBorder="1" applyAlignment="1">
      <alignment horizontal="center" vertical="center"/>
    </xf>
    <xf numFmtId="0" fontId="28" fillId="2" borderId="9" xfId="137" applyFont="1" applyFill="1" applyBorder="1" applyAlignment="1">
      <alignment horizontal="center" vertical="center"/>
    </xf>
    <xf numFmtId="0" fontId="20" fillId="2" borderId="10" xfId="133" applyFont="1" applyFill="1" applyBorder="1" applyAlignment="1">
      <alignment horizontal="justify" vertical="center" wrapText="1"/>
    </xf>
    <xf numFmtId="0" fontId="20" fillId="2" borderId="5" xfId="133" applyFont="1" applyFill="1" applyBorder="1" applyAlignment="1">
      <alignment horizontal="justify" vertical="center" wrapText="1"/>
    </xf>
    <xf numFmtId="0" fontId="20" fillId="2" borderId="11" xfId="133" applyFont="1" applyFill="1" applyBorder="1" applyAlignment="1">
      <alignment horizontal="justify" vertical="center" wrapText="1"/>
    </xf>
    <xf numFmtId="0" fontId="14" fillId="5" borderId="6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left"/>
    </xf>
    <xf numFmtId="0" fontId="44" fillId="5" borderId="1" xfId="0" applyFont="1" applyFill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 wrapText="1"/>
    </xf>
    <xf numFmtId="0" fontId="46" fillId="2" borderId="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 wrapText="1"/>
    </xf>
    <xf numFmtId="0" fontId="46" fillId="2" borderId="8" xfId="0" applyFont="1" applyFill="1" applyBorder="1" applyAlignment="1">
      <alignment horizontal="center" vertical="center" wrapText="1"/>
    </xf>
    <xf numFmtId="0" fontId="44" fillId="3" borderId="1" xfId="0" applyFont="1" applyFill="1" applyBorder="1" applyAlignment="1">
      <alignment horizontal="center" vertical="center" wrapText="1"/>
    </xf>
    <xf numFmtId="0" fontId="57" fillId="2" borderId="12" xfId="133" applyFont="1" applyFill="1" applyBorder="1" applyAlignment="1">
      <alignment horizontal="justify" vertical="center" wrapText="1"/>
    </xf>
    <xf numFmtId="0" fontId="57" fillId="2" borderId="0" xfId="133" applyFont="1" applyFill="1" applyAlignment="1">
      <alignment horizontal="justify" vertical="center" wrapText="1"/>
    </xf>
    <xf numFmtId="0" fontId="57" fillId="2" borderId="8" xfId="133" applyFont="1" applyFill="1" applyBorder="1" applyAlignment="1">
      <alignment horizontal="justify" vertical="center" wrapText="1"/>
    </xf>
    <xf numFmtId="0" fontId="57" fillId="2" borderId="12" xfId="36" applyFont="1" applyFill="1" applyBorder="1" applyAlignment="1">
      <alignment horizontal="justify" vertical="center" wrapText="1"/>
    </xf>
    <xf numFmtId="0" fontId="57" fillId="2" borderId="0" xfId="36" applyFont="1" applyFill="1" applyAlignment="1">
      <alignment horizontal="justify" vertical="center" wrapText="1"/>
    </xf>
    <xf numFmtId="0" fontId="57" fillId="2" borderId="8" xfId="36" applyFont="1" applyFill="1" applyBorder="1" applyAlignment="1">
      <alignment horizontal="justify" vertical="center" wrapText="1"/>
    </xf>
    <xf numFmtId="0" fontId="58" fillId="2" borderId="12" xfId="133" applyFont="1" applyFill="1" applyBorder="1" applyAlignment="1">
      <alignment horizontal="justify" vertical="center" wrapText="1"/>
    </xf>
    <xf numFmtId="0" fontId="58" fillId="2" borderId="0" xfId="133" applyFont="1" applyFill="1" applyAlignment="1">
      <alignment horizontal="justify" vertical="center" wrapText="1"/>
    </xf>
    <xf numFmtId="0" fontId="58" fillId="2" borderId="8" xfId="133" applyFont="1" applyFill="1" applyBorder="1" applyAlignment="1">
      <alignment horizontal="justify" vertical="center" wrapText="1"/>
    </xf>
    <xf numFmtId="0" fontId="58" fillId="2" borderId="13" xfId="133" applyFont="1" applyFill="1" applyBorder="1" applyAlignment="1">
      <alignment horizontal="justify" vertical="center" wrapText="1"/>
    </xf>
    <xf numFmtId="0" fontId="58" fillId="2" borderId="2" xfId="133" applyFont="1" applyFill="1" applyBorder="1" applyAlignment="1">
      <alignment horizontal="justify" vertical="center" wrapText="1"/>
    </xf>
    <xf numFmtId="0" fontId="58" fillId="2" borderId="9" xfId="133" applyFont="1" applyFill="1" applyBorder="1" applyAlignment="1">
      <alignment horizontal="justify" vertical="center" wrapText="1"/>
    </xf>
    <xf numFmtId="170" fontId="47" fillId="2" borderId="4" xfId="0" applyNumberFormat="1" applyFont="1" applyFill="1" applyBorder="1" applyAlignment="1">
      <alignment horizontal="right" vertical="center"/>
    </xf>
    <xf numFmtId="170" fontId="47" fillId="2" borderId="14" xfId="0" applyNumberFormat="1" applyFont="1" applyFill="1" applyBorder="1" applyAlignment="1">
      <alignment horizontal="right" vertical="center"/>
    </xf>
    <xf numFmtId="0" fontId="56" fillId="4" borderId="1" xfId="101" applyFont="1" applyFill="1" applyBorder="1" applyAlignment="1">
      <alignment horizontal="right" vertical="center" wrapText="1"/>
    </xf>
    <xf numFmtId="0" fontId="48" fillId="2" borderId="0" xfId="0" applyFont="1" applyFill="1" applyAlignment="1">
      <alignment horizontal="right" vertical="center" wrapText="1"/>
    </xf>
    <xf numFmtId="0" fontId="48" fillId="2" borderId="8" xfId="0" applyFont="1" applyFill="1" applyBorder="1" applyAlignment="1">
      <alignment horizontal="right" vertical="center" wrapText="1"/>
    </xf>
    <xf numFmtId="0" fontId="47" fillId="2" borderId="10" xfId="137" applyFont="1" applyFill="1" applyBorder="1" applyAlignment="1">
      <alignment horizontal="left" vertical="center"/>
    </xf>
    <xf numFmtId="0" fontId="47" fillId="2" borderId="5" xfId="137" applyFont="1" applyFill="1" applyBorder="1" applyAlignment="1">
      <alignment horizontal="left" vertical="center"/>
    </xf>
    <xf numFmtId="0" fontId="56" fillId="2" borderId="13" xfId="137" applyFont="1" applyFill="1" applyBorder="1" applyAlignment="1">
      <alignment horizontal="center" vertical="center" wrapText="1"/>
    </xf>
    <xf numFmtId="0" fontId="56" fillId="2" borderId="2" xfId="137" applyFont="1" applyFill="1" applyBorder="1" applyAlignment="1">
      <alignment horizontal="center" vertical="center"/>
    </xf>
    <xf numFmtId="0" fontId="56" fillId="2" borderId="9" xfId="137" applyFont="1" applyFill="1" applyBorder="1" applyAlignment="1">
      <alignment horizontal="center" vertical="center"/>
    </xf>
    <xf numFmtId="0" fontId="57" fillId="2" borderId="10" xfId="133" applyFont="1" applyFill="1" applyBorder="1" applyAlignment="1">
      <alignment horizontal="justify" vertical="center" wrapText="1"/>
    </xf>
    <xf numFmtId="0" fontId="57" fillId="2" borderId="5" xfId="133" applyFont="1" applyFill="1" applyBorder="1" applyAlignment="1">
      <alignment horizontal="justify" vertical="center" wrapText="1"/>
    </xf>
    <xf numFmtId="0" fontId="57" fillId="2" borderId="11" xfId="133" applyFont="1" applyFill="1" applyBorder="1" applyAlignment="1">
      <alignment horizontal="justify" vertical="center" wrapText="1"/>
    </xf>
    <xf numFmtId="0" fontId="44" fillId="5" borderId="6" xfId="0" applyFont="1" applyFill="1" applyBorder="1" applyAlignment="1">
      <alignment horizontal="center" vertical="center"/>
    </xf>
    <xf numFmtId="0" fontId="44" fillId="5" borderId="3" xfId="0" applyFont="1" applyFill="1" applyBorder="1" applyAlignment="1">
      <alignment horizontal="center" vertical="center" wrapText="1"/>
    </xf>
    <xf numFmtId="0" fontId="44" fillId="5" borderId="5" xfId="0" applyFont="1" applyFill="1" applyBorder="1" applyAlignment="1">
      <alignment horizontal="center" vertical="center" wrapText="1"/>
    </xf>
    <xf numFmtId="0" fontId="44" fillId="5" borderId="11" xfId="0" applyFont="1" applyFill="1" applyBorder="1" applyAlignment="1">
      <alignment horizontal="center" vertical="center" wrapText="1"/>
    </xf>
    <xf numFmtId="178" fontId="11" fillId="2" borderId="2" xfId="0" applyNumberFormat="1" applyFont="1" applyFill="1" applyBorder="1" applyAlignment="1">
      <alignment horizontal="left" vertical="center" wrapText="1"/>
    </xf>
    <xf numFmtId="178" fontId="11" fillId="2" borderId="9" xfId="0" applyNumberFormat="1" applyFont="1" applyFill="1" applyBorder="1" applyAlignment="1">
      <alignment horizontal="left" vertical="center" wrapText="1"/>
    </xf>
    <xf numFmtId="2" fontId="11" fillId="2" borderId="3" xfId="0" applyNumberFormat="1" applyFont="1" applyFill="1" applyBorder="1" applyAlignment="1">
      <alignment horizontal="center" vertical="center" wrapText="1"/>
    </xf>
    <xf numFmtId="2" fontId="11" fillId="2" borderId="14" xfId="0" applyNumberFormat="1" applyFont="1" applyFill="1" applyBorder="1" applyAlignment="1">
      <alignment horizontal="center" vertical="center" wrapText="1"/>
    </xf>
    <xf numFmtId="0" fontId="12" fillId="2" borderId="10" xfId="99" applyFont="1" applyFill="1" applyBorder="1" applyAlignment="1">
      <alignment horizontal="left" vertical="center"/>
    </xf>
    <xf numFmtId="0" fontId="12" fillId="2" borderId="13" xfId="99" applyFont="1" applyFill="1" applyBorder="1" applyAlignment="1">
      <alignment horizontal="left" vertical="center"/>
    </xf>
    <xf numFmtId="49" fontId="11" fillId="2" borderId="10" xfId="99" applyNumberFormat="1" applyFont="1" applyFill="1" applyBorder="1" applyAlignment="1">
      <alignment horizontal="center" vertical="center" wrapText="1"/>
    </xf>
    <xf numFmtId="49" fontId="11" fillId="2" borderId="5" xfId="99" applyNumberFormat="1" applyFont="1" applyFill="1" applyBorder="1" applyAlignment="1">
      <alignment horizontal="center" vertical="center" wrapText="1"/>
    </xf>
    <xf numFmtId="49" fontId="11" fillId="2" borderId="11" xfId="99" applyNumberFormat="1" applyFont="1" applyFill="1" applyBorder="1" applyAlignment="1">
      <alignment horizontal="center" vertical="center" wrapText="1"/>
    </xf>
    <xf numFmtId="49" fontId="11" fillId="2" borderId="13" xfId="99" applyNumberFormat="1" applyFont="1" applyFill="1" applyBorder="1" applyAlignment="1">
      <alignment horizontal="center" vertical="center" wrapText="1"/>
    </xf>
    <xf numFmtId="49" fontId="11" fillId="2" borderId="2" xfId="99" applyNumberFormat="1" applyFont="1" applyFill="1" applyBorder="1" applyAlignment="1">
      <alignment horizontal="center" vertical="center" wrapText="1"/>
    </xf>
    <xf numFmtId="49" fontId="11" fillId="2" borderId="9" xfId="99" applyNumberFormat="1" applyFont="1" applyFill="1" applyBorder="1" applyAlignment="1">
      <alignment horizontal="center" vertical="center" wrapText="1"/>
    </xf>
    <xf numFmtId="0" fontId="12" fillId="2" borderId="10" xfId="99" applyFont="1" applyFill="1" applyBorder="1" applyAlignment="1">
      <alignment horizontal="center" vertical="center"/>
    </xf>
    <xf numFmtId="0" fontId="12" fillId="2" borderId="5" xfId="99" applyFont="1" applyFill="1" applyBorder="1" applyAlignment="1">
      <alignment horizontal="center" vertical="center"/>
    </xf>
    <xf numFmtId="0" fontId="12" fillId="2" borderId="11" xfId="99" applyFont="1" applyFill="1" applyBorder="1" applyAlignment="1">
      <alignment horizontal="center" vertical="center"/>
    </xf>
    <xf numFmtId="0" fontId="12" fillId="2" borderId="13" xfId="99" applyFont="1" applyFill="1" applyBorder="1" applyAlignment="1">
      <alignment horizontal="center" vertical="center"/>
    </xf>
    <xf numFmtId="0" fontId="12" fillId="2" borderId="2" xfId="99" applyFont="1" applyFill="1" applyBorder="1" applyAlignment="1">
      <alignment horizontal="center" vertical="center"/>
    </xf>
    <xf numFmtId="0" fontId="12" fillId="2" borderId="9" xfId="99" applyFont="1" applyFill="1" applyBorder="1" applyAlignment="1">
      <alignment horizontal="center" vertical="center"/>
    </xf>
    <xf numFmtId="0" fontId="12" fillId="2" borderId="12" xfId="99" applyFont="1" applyFill="1" applyBorder="1" applyAlignment="1">
      <alignment horizontal="left" vertical="center"/>
    </xf>
    <xf numFmtId="0" fontId="12" fillId="2" borderId="0" xfId="99" applyFont="1" applyFill="1" applyAlignment="1">
      <alignment horizontal="left" vertical="center"/>
    </xf>
    <xf numFmtId="0" fontId="11" fillId="2" borderId="5" xfId="99" applyFont="1" applyFill="1" applyBorder="1" applyAlignment="1">
      <alignment horizontal="center" vertical="center" wrapText="1"/>
    </xf>
    <xf numFmtId="0" fontId="11" fillId="2" borderId="11" xfId="99" applyFont="1" applyFill="1" applyBorder="1" applyAlignment="1">
      <alignment horizontal="center" vertical="center" wrapText="1"/>
    </xf>
    <xf numFmtId="0" fontId="11" fillId="2" borderId="2" xfId="99" applyFont="1" applyFill="1" applyBorder="1" applyAlignment="1">
      <alignment horizontal="center" vertical="center" wrapText="1"/>
    </xf>
    <xf numFmtId="0" fontId="11" fillId="2" borderId="9" xfId="99" applyFont="1" applyFill="1" applyBorder="1" applyAlignment="1">
      <alignment horizontal="center" vertical="center" wrapText="1"/>
    </xf>
    <xf numFmtId="0" fontId="12" fillId="2" borderId="12" xfId="99" applyFont="1" applyFill="1" applyBorder="1" applyAlignment="1">
      <alignment horizontal="center" vertical="center" wrapText="1"/>
    </xf>
    <xf numFmtId="0" fontId="12" fillId="2" borderId="0" xfId="99" applyFont="1" applyFill="1" applyAlignment="1">
      <alignment horizontal="center" vertical="center" wrapText="1"/>
    </xf>
    <xf numFmtId="0" fontId="12" fillId="2" borderId="8" xfId="99" applyFont="1" applyFill="1" applyBorder="1" applyAlignment="1">
      <alignment horizontal="center" vertical="center" wrapText="1"/>
    </xf>
    <xf numFmtId="0" fontId="12" fillId="2" borderId="13" xfId="99" applyFont="1" applyFill="1" applyBorder="1" applyAlignment="1">
      <alignment horizontal="center" vertical="center" wrapText="1"/>
    </xf>
    <xf numFmtId="0" fontId="12" fillId="2" borderId="2" xfId="99" applyFont="1" applyFill="1" applyBorder="1" applyAlignment="1">
      <alignment horizontal="center" vertical="center" wrapText="1"/>
    </xf>
    <xf numFmtId="0" fontId="12" fillId="2" borderId="9" xfId="99" applyFont="1" applyFill="1" applyBorder="1" applyAlignment="1">
      <alignment horizontal="center" vertical="center" wrapText="1"/>
    </xf>
    <xf numFmtId="0" fontId="32" fillId="4" borderId="3" xfId="0" applyFont="1" applyFill="1" applyBorder="1" applyAlignment="1">
      <alignment horizontal="left" vertical="center" wrapText="1"/>
    </xf>
    <xf numFmtId="0" fontId="32" fillId="4" borderId="4" xfId="0" applyFont="1" applyFill="1" applyBorder="1" applyAlignment="1">
      <alignment horizontal="left" vertical="center" wrapText="1"/>
    </xf>
    <xf numFmtId="0" fontId="32" fillId="4" borderId="14" xfId="0" applyFont="1" applyFill="1" applyBorder="1" applyAlignment="1">
      <alignment horizontal="left" vertical="center" wrapText="1"/>
    </xf>
    <xf numFmtId="0" fontId="12" fillId="3" borderId="3" xfId="99" applyFont="1" applyFill="1" applyBorder="1" applyAlignment="1">
      <alignment horizontal="center" vertical="center" wrapText="1" shrinkToFit="1"/>
    </xf>
    <xf numFmtId="0" fontId="12" fillId="3" borderId="4" xfId="99" applyFont="1" applyFill="1" applyBorder="1" applyAlignment="1">
      <alignment horizontal="center" vertical="center" wrapText="1" shrinkToFit="1"/>
    </xf>
    <xf numFmtId="0" fontId="12" fillId="3" borderId="14" xfId="99" applyFont="1" applyFill="1" applyBorder="1" applyAlignment="1">
      <alignment horizontal="center" vertical="center" wrapText="1" shrinkToFi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14" xfId="0" applyFont="1" applyFill="1" applyBorder="1" applyAlignment="1">
      <alignment horizontal="left" vertical="center" wrapText="1"/>
    </xf>
    <xf numFmtId="0" fontId="12" fillId="6" borderId="3" xfId="0" applyFont="1" applyFill="1" applyBorder="1" applyAlignment="1">
      <alignment horizontal="left" vertical="center" wrapText="1"/>
    </xf>
    <xf numFmtId="0" fontId="12" fillId="6" borderId="4" xfId="0" applyFont="1" applyFill="1" applyBorder="1" applyAlignment="1">
      <alignment horizontal="left" vertical="center" wrapText="1"/>
    </xf>
    <xf numFmtId="0" fontId="12" fillId="6" borderId="14" xfId="0" applyFont="1" applyFill="1" applyBorder="1" applyAlignment="1">
      <alignment horizontal="left" vertical="center" wrapText="1"/>
    </xf>
    <xf numFmtId="0" fontId="13" fillId="2" borderId="19" xfId="0" applyFont="1" applyFill="1" applyBorder="1" applyAlignment="1">
      <alignment horizontal="left" vertical="center"/>
    </xf>
    <xf numFmtId="0" fontId="13" fillId="2" borderId="17" xfId="0" applyFont="1" applyFill="1" applyBorder="1" applyAlignment="1">
      <alignment horizontal="left" vertical="center"/>
    </xf>
    <xf numFmtId="2" fontId="13" fillId="2" borderId="17" xfId="0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left" vertical="center"/>
    </xf>
    <xf numFmtId="0" fontId="13" fillId="2" borderId="21" xfId="0" applyFont="1" applyFill="1" applyBorder="1" applyAlignment="1">
      <alignment horizontal="left" vertical="center"/>
    </xf>
    <xf numFmtId="2" fontId="13" fillId="2" borderId="33" xfId="0" applyNumberFormat="1" applyFont="1" applyFill="1" applyBorder="1" applyAlignment="1">
      <alignment horizontal="center" vertical="center"/>
    </xf>
    <xf numFmtId="2" fontId="13" fillId="2" borderId="32" xfId="0" applyNumberFormat="1" applyFont="1" applyFill="1" applyBorder="1" applyAlignment="1">
      <alignment horizontal="center" vertical="center"/>
    </xf>
    <xf numFmtId="2" fontId="13" fillId="2" borderId="21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/>
    </xf>
    <xf numFmtId="0" fontId="14" fillId="4" borderId="4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left" vertical="center" wrapText="1"/>
    </xf>
    <xf numFmtId="0" fontId="13" fillId="2" borderId="25" xfId="0" applyFont="1" applyFill="1" applyBorder="1" applyAlignment="1">
      <alignment horizontal="left" vertical="center" wrapText="1"/>
    </xf>
    <xf numFmtId="0" fontId="13" fillId="2" borderId="28" xfId="0" applyFont="1" applyFill="1" applyBorder="1" applyAlignment="1">
      <alignment horizontal="left" vertical="center"/>
    </xf>
    <xf numFmtId="0" fontId="13" fillId="2" borderId="37" xfId="0" applyFont="1" applyFill="1" applyBorder="1" applyAlignment="1">
      <alignment horizontal="left" vertical="center"/>
    </xf>
    <xf numFmtId="0" fontId="13" fillId="2" borderId="25" xfId="0" applyFont="1" applyFill="1" applyBorder="1" applyAlignment="1">
      <alignment horizontal="left" vertical="center"/>
    </xf>
    <xf numFmtId="0" fontId="13" fillId="2" borderId="40" xfId="0" applyFont="1" applyFill="1" applyBorder="1" applyAlignment="1">
      <alignment horizontal="left" vertical="center"/>
    </xf>
    <xf numFmtId="0" fontId="13" fillId="2" borderId="4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3" fillId="2" borderId="42" xfId="0" applyFont="1" applyFill="1" applyBorder="1" applyAlignment="1">
      <alignment horizontal="left" vertical="center"/>
    </xf>
    <xf numFmtId="0" fontId="13" fillId="2" borderId="45" xfId="0" applyFont="1" applyFill="1" applyBorder="1" applyAlignment="1">
      <alignment horizontal="left" vertical="center" wrapText="1"/>
    </xf>
    <xf numFmtId="0" fontId="13" fillId="2" borderId="32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>
      <alignment horizontal="left" vertical="center"/>
    </xf>
    <xf numFmtId="0" fontId="12" fillId="3" borderId="43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2" fontId="13" fillId="2" borderId="29" xfId="0" applyNumberFormat="1" applyFont="1" applyFill="1" applyBorder="1" applyAlignment="1">
      <alignment horizontal="center" vertical="center"/>
    </xf>
    <xf numFmtId="2" fontId="13" fillId="2" borderId="39" xfId="0" applyNumberFormat="1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left" vertical="center" wrapText="1"/>
    </xf>
    <xf numFmtId="0" fontId="13" fillId="2" borderId="45" xfId="0" applyFont="1" applyFill="1" applyBorder="1" applyAlignment="1">
      <alignment horizontal="left" vertical="center"/>
    </xf>
    <xf numFmtId="0" fontId="13" fillId="2" borderId="32" xfId="0" applyFont="1" applyFill="1" applyBorder="1" applyAlignment="1">
      <alignment horizontal="left" vertical="center"/>
    </xf>
    <xf numFmtId="0" fontId="41" fillId="2" borderId="28" xfId="0" applyFont="1" applyFill="1" applyBorder="1" applyAlignment="1">
      <alignment horizontal="left" vertical="center"/>
    </xf>
    <xf numFmtId="0" fontId="41" fillId="2" borderId="25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wrapText="1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vertical="center" wrapText="1"/>
    </xf>
    <xf numFmtId="0" fontId="22" fillId="2" borderId="12" xfId="0" applyFont="1" applyFill="1" applyBorder="1" applyAlignment="1">
      <alignment horizontal="left"/>
    </xf>
    <xf numFmtId="0" fontId="22" fillId="2" borderId="0" xfId="0" applyFont="1" applyFill="1" applyAlignment="1">
      <alignment horizontal="left"/>
    </xf>
    <xf numFmtId="0" fontId="9" fillId="2" borderId="10" xfId="101" applyFont="1" applyFill="1" applyBorder="1" applyAlignment="1">
      <alignment horizontal="center" vertical="center"/>
    </xf>
    <xf numFmtId="0" fontId="9" fillId="2" borderId="12" xfId="101" applyFont="1" applyFill="1" applyBorder="1" applyAlignment="1">
      <alignment horizontal="center" vertical="center"/>
    </xf>
    <xf numFmtId="0" fontId="9" fillId="2" borderId="13" xfId="101" applyFont="1" applyFill="1" applyBorder="1" applyAlignment="1">
      <alignment horizontal="center" vertical="center"/>
    </xf>
    <xf numFmtId="0" fontId="10" fillId="2" borderId="10" xfId="101" applyFont="1" applyFill="1" applyBorder="1" applyAlignment="1">
      <alignment horizontal="center" vertical="center" wrapText="1"/>
    </xf>
    <xf numFmtId="0" fontId="10" fillId="2" borderId="11" xfId="101" applyFont="1" applyFill="1" applyBorder="1" applyAlignment="1">
      <alignment horizontal="center" vertical="center" wrapText="1"/>
    </xf>
    <xf numFmtId="0" fontId="10" fillId="2" borderId="12" xfId="101" applyFont="1" applyFill="1" applyBorder="1" applyAlignment="1">
      <alignment horizontal="center" vertical="center" wrapText="1"/>
    </xf>
    <xf numFmtId="0" fontId="10" fillId="2" borderId="8" xfId="101" applyFont="1" applyFill="1" applyBorder="1" applyAlignment="1">
      <alignment horizontal="center" vertical="center" wrapText="1"/>
    </xf>
    <xf numFmtId="0" fontId="10" fillId="2" borderId="13" xfId="101" applyFont="1" applyFill="1" applyBorder="1" applyAlignment="1">
      <alignment horizontal="center" vertical="center" wrapText="1"/>
    </xf>
    <xf numFmtId="0" fontId="10" fillId="2" borderId="9" xfId="101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9" xfId="0" applyFont="1" applyFill="1" applyBorder="1" applyAlignment="1">
      <alignment horizontal="center" vertical="center"/>
    </xf>
    <xf numFmtId="167" fontId="21" fillId="3" borderId="6" xfId="104" applyFont="1" applyFill="1" applyBorder="1" applyAlignment="1">
      <alignment horizontal="center" vertical="center"/>
    </xf>
    <xf numFmtId="167" fontId="21" fillId="3" borderId="7" xfId="104" applyFont="1" applyFill="1" applyBorder="1" applyAlignment="1">
      <alignment horizontal="center" vertical="center"/>
    </xf>
    <xf numFmtId="0" fontId="35" fillId="2" borderId="0" xfId="139" applyFont="1" applyFill="1" applyAlignment="1">
      <alignment horizontal="left" vertical="center" wrapText="1"/>
    </xf>
    <xf numFmtId="0" fontId="19" fillId="11" borderId="47" xfId="139" applyFont="1" applyFill="1" applyBorder="1" applyAlignment="1" applyProtection="1">
      <alignment horizontal="left" vertical="center" wrapText="1"/>
      <protection hidden="1"/>
    </xf>
    <xf numFmtId="0" fontId="19" fillId="11" borderId="4" xfId="139" applyFont="1" applyFill="1" applyBorder="1" applyAlignment="1" applyProtection="1">
      <alignment horizontal="left" vertical="center" wrapText="1"/>
      <protection hidden="1"/>
    </xf>
    <xf numFmtId="0" fontId="19" fillId="11" borderId="48" xfId="139" applyFont="1" applyFill="1" applyBorder="1" applyAlignment="1" applyProtection="1">
      <alignment horizontal="left" vertical="center" wrapText="1"/>
      <protection hidden="1"/>
    </xf>
    <xf numFmtId="0" fontId="19" fillId="11" borderId="52" xfId="139" applyFont="1" applyFill="1" applyBorder="1" applyAlignment="1" applyProtection="1">
      <alignment horizontal="left" vertical="center" wrapText="1"/>
      <protection hidden="1"/>
    </xf>
    <xf numFmtId="0" fontId="19" fillId="11" borderId="5" xfId="139" applyFont="1" applyFill="1" applyBorder="1" applyAlignment="1" applyProtection="1">
      <alignment horizontal="left" vertical="center" wrapText="1"/>
      <protection hidden="1"/>
    </xf>
    <xf numFmtId="0" fontId="19" fillId="11" borderId="53" xfId="139" applyFont="1" applyFill="1" applyBorder="1" applyAlignment="1" applyProtection="1">
      <alignment horizontal="left" vertical="center" wrapText="1"/>
      <protection hidden="1"/>
    </xf>
    <xf numFmtId="0" fontId="19" fillId="3" borderId="3" xfId="139" applyFont="1" applyFill="1" applyBorder="1" applyAlignment="1" applyProtection="1">
      <alignment horizontal="center" vertical="center" wrapText="1"/>
      <protection hidden="1"/>
    </xf>
    <xf numFmtId="0" fontId="19" fillId="3" borderId="14" xfId="139" applyFont="1" applyFill="1" applyBorder="1" applyAlignment="1" applyProtection="1">
      <alignment horizontal="center" vertical="center" wrapText="1"/>
      <protection hidden="1"/>
    </xf>
    <xf numFmtId="0" fontId="39" fillId="5" borderId="47" xfId="139" applyFont="1" applyFill="1" applyBorder="1" applyAlignment="1">
      <alignment horizontal="left" vertical="center" wrapText="1"/>
    </xf>
    <xf numFmtId="0" fontId="39" fillId="5" borderId="4" xfId="139" applyFont="1" applyFill="1" applyBorder="1" applyAlignment="1">
      <alignment horizontal="left" vertical="center" wrapText="1"/>
    </xf>
    <xf numFmtId="0" fontId="19" fillId="11" borderId="3" xfId="139" applyFont="1" applyFill="1" applyBorder="1" applyAlignment="1" applyProtection="1">
      <alignment horizontal="left" vertical="center" wrapText="1"/>
      <protection hidden="1"/>
    </xf>
    <xf numFmtId="0" fontId="36" fillId="2" borderId="10" xfId="139" applyFont="1" applyFill="1" applyBorder="1" applyAlignment="1">
      <alignment horizontal="center" vertical="center" wrapText="1"/>
    </xf>
    <xf numFmtId="0" fontId="36" fillId="2" borderId="5" xfId="139" applyFont="1" applyFill="1" applyBorder="1" applyAlignment="1">
      <alignment horizontal="center" vertical="center" wrapText="1"/>
    </xf>
    <xf numFmtId="0" fontId="36" fillId="2" borderId="11" xfId="139" applyFont="1" applyFill="1" applyBorder="1" applyAlignment="1">
      <alignment horizontal="center" vertical="center" wrapText="1"/>
    </xf>
    <xf numFmtId="0" fontId="36" fillId="2" borderId="12" xfId="139" applyFont="1" applyFill="1" applyBorder="1" applyAlignment="1">
      <alignment horizontal="center" vertical="center" wrapText="1"/>
    </xf>
    <xf numFmtId="0" fontId="36" fillId="2" borderId="0" xfId="139" applyFont="1" applyFill="1" applyAlignment="1">
      <alignment horizontal="center" vertical="center" wrapText="1"/>
    </xf>
    <xf numFmtId="0" fontId="36" fillId="2" borderId="8" xfId="139" applyFont="1" applyFill="1" applyBorder="1" applyAlignment="1">
      <alignment horizontal="center" vertical="center" wrapText="1"/>
    </xf>
    <xf numFmtId="178" fontId="35" fillId="2" borderId="2" xfId="139" applyNumberFormat="1" applyFont="1" applyFill="1" applyBorder="1" applyAlignment="1">
      <alignment horizontal="center" vertical="center" wrapText="1"/>
    </xf>
    <xf numFmtId="178" fontId="35" fillId="2" borderId="9" xfId="139" applyNumberFormat="1" applyFont="1" applyFill="1" applyBorder="1" applyAlignment="1">
      <alignment horizontal="center" vertical="center" wrapText="1"/>
    </xf>
    <xf numFmtId="4" fontId="28" fillId="0" borderId="1" xfId="148" applyNumberFormat="1" applyFont="1" applyBorder="1" applyAlignment="1">
      <alignment horizontal="center"/>
    </xf>
    <xf numFmtId="0" fontId="29" fillId="0" borderId="0" xfId="146" applyFont="1" applyAlignment="1">
      <alignment horizontal="center" vertical="center"/>
    </xf>
  </cellXfs>
  <cellStyles count="150">
    <cellStyle name="Euro" xfId="2" xr:uid="{00000000-0005-0000-0000-000000000000}"/>
    <cellStyle name="Millares" xfId="138" builtinId="3"/>
    <cellStyle name="Millares [0]" xfId="132" builtinId="6"/>
    <cellStyle name="Millares [0] 2" xfId="4" xr:uid="{00000000-0005-0000-0000-000003000000}"/>
    <cellStyle name="Millares [0] 2 2" xfId="5" xr:uid="{00000000-0005-0000-0000-000004000000}"/>
    <cellStyle name="Millares [0] 2 2 2" xfId="6" xr:uid="{00000000-0005-0000-0000-000005000000}"/>
    <cellStyle name="Millares 10" xfId="104" xr:uid="{00000000-0005-0000-0000-000006000000}"/>
    <cellStyle name="Millares 11" xfId="103" xr:uid="{00000000-0005-0000-0000-000007000000}"/>
    <cellStyle name="Millares 12" xfId="107" xr:uid="{00000000-0005-0000-0000-000008000000}"/>
    <cellStyle name="Millares 13" xfId="105" xr:uid="{00000000-0005-0000-0000-000009000000}"/>
    <cellStyle name="Millares 14" xfId="106" xr:uid="{00000000-0005-0000-0000-00000A000000}"/>
    <cellStyle name="Millares 15" xfId="115" xr:uid="{00000000-0005-0000-0000-00000B000000}"/>
    <cellStyle name="Millares 16" xfId="117" xr:uid="{00000000-0005-0000-0000-00000C000000}"/>
    <cellStyle name="Millares 17" xfId="118" xr:uid="{00000000-0005-0000-0000-00000D000000}"/>
    <cellStyle name="Millares 18" xfId="119" xr:uid="{00000000-0005-0000-0000-00000E000000}"/>
    <cellStyle name="Millares 19" xfId="120" xr:uid="{00000000-0005-0000-0000-00000F000000}"/>
    <cellStyle name="Millares 2" xfId="7" xr:uid="{00000000-0005-0000-0000-000010000000}"/>
    <cellStyle name="Millares 2 2" xfId="8" xr:uid="{00000000-0005-0000-0000-000011000000}"/>
    <cellStyle name="Millares 2 2 2" xfId="130" xr:uid="{00000000-0005-0000-0000-000012000000}"/>
    <cellStyle name="Millares 2 3" xfId="9" xr:uid="{00000000-0005-0000-0000-000013000000}"/>
    <cellStyle name="Millares 2 4" xfId="10" xr:uid="{00000000-0005-0000-0000-000014000000}"/>
    <cellStyle name="Millares 2 4 2" xfId="11" xr:uid="{00000000-0005-0000-0000-000015000000}"/>
    <cellStyle name="Millares 2 5" xfId="91" xr:uid="{00000000-0005-0000-0000-000016000000}"/>
    <cellStyle name="Millares 2 5 2" xfId="125" xr:uid="{00000000-0005-0000-0000-000017000000}"/>
    <cellStyle name="Millares 3" xfId="12" xr:uid="{00000000-0005-0000-0000-000018000000}"/>
    <cellStyle name="Millares 3 2" xfId="93" xr:uid="{00000000-0005-0000-0000-000019000000}"/>
    <cellStyle name="Millares 3 2 4" xfId="131" xr:uid="{00000000-0005-0000-0000-00001A000000}"/>
    <cellStyle name="Millares 3 3" xfId="92" xr:uid="{00000000-0005-0000-0000-00001B000000}"/>
    <cellStyle name="Millares 3_MEMORIAS" xfId="109" xr:uid="{00000000-0005-0000-0000-00001C000000}"/>
    <cellStyle name="Millares 4" xfId="13" xr:uid="{00000000-0005-0000-0000-00001D000000}"/>
    <cellStyle name="Millares 4 2" xfId="14" xr:uid="{00000000-0005-0000-0000-00001E000000}"/>
    <cellStyle name="Millares 4 2 2" xfId="15" xr:uid="{00000000-0005-0000-0000-00001F000000}"/>
    <cellStyle name="Millares 4 3" xfId="124" xr:uid="{00000000-0005-0000-0000-000020000000}"/>
    <cellStyle name="Millares 4_MEMORIAS" xfId="110" xr:uid="{00000000-0005-0000-0000-000021000000}"/>
    <cellStyle name="Millares 5" xfId="16" xr:uid="{00000000-0005-0000-0000-000022000000}"/>
    <cellStyle name="Millares 6" xfId="17" xr:uid="{00000000-0005-0000-0000-000023000000}"/>
    <cellStyle name="Millares 6 2" xfId="18" xr:uid="{00000000-0005-0000-0000-000024000000}"/>
    <cellStyle name="Millares 6 2 2" xfId="19" xr:uid="{00000000-0005-0000-0000-000025000000}"/>
    <cellStyle name="Millares 7" xfId="3" xr:uid="{00000000-0005-0000-0000-000026000000}"/>
    <cellStyle name="Millares 8" xfId="90" xr:uid="{00000000-0005-0000-0000-000027000000}"/>
    <cellStyle name="Millares 9" xfId="102" xr:uid="{00000000-0005-0000-0000-000028000000}"/>
    <cellStyle name="Moneda" xfId="1" builtinId="4"/>
    <cellStyle name="Moneda [0]" xfId="129" builtinId="7"/>
    <cellStyle name="Moneda [0] 2" xfId="143" xr:uid="{00000000-0005-0000-0000-00002B000000}"/>
    <cellStyle name="Moneda [0] 2 2" xfId="144" xr:uid="{00000000-0005-0000-0000-00002C000000}"/>
    <cellStyle name="Moneda 10" xfId="94" xr:uid="{00000000-0005-0000-0000-00002D000000}"/>
    <cellStyle name="Moneda 2" xfId="20" xr:uid="{00000000-0005-0000-0000-00002E000000}"/>
    <cellStyle name="Moneda 2 10" xfId="95" xr:uid="{00000000-0005-0000-0000-00002F000000}"/>
    <cellStyle name="Moneda 2 11" xfId="122" xr:uid="{00000000-0005-0000-0000-000030000000}"/>
    <cellStyle name="Moneda 2 2" xfId="21" xr:uid="{00000000-0005-0000-0000-000031000000}"/>
    <cellStyle name="Moneda 2 2 2" xfId="22" xr:uid="{00000000-0005-0000-0000-000032000000}"/>
    <cellStyle name="Moneda 2 2 2 2 2" xfId="136" xr:uid="{00000000-0005-0000-0000-000033000000}"/>
    <cellStyle name="Moneda 2 2 3" xfId="23" xr:uid="{00000000-0005-0000-0000-000034000000}"/>
    <cellStyle name="Moneda 2 3" xfId="24" xr:uid="{00000000-0005-0000-0000-000035000000}"/>
    <cellStyle name="Moneda 2 4" xfId="25" xr:uid="{00000000-0005-0000-0000-000036000000}"/>
    <cellStyle name="Moneda 2 5" xfId="26" xr:uid="{00000000-0005-0000-0000-000037000000}"/>
    <cellStyle name="Moneda 2 6" xfId="27" xr:uid="{00000000-0005-0000-0000-000038000000}"/>
    <cellStyle name="Moneda 2 7" xfId="28" xr:uid="{00000000-0005-0000-0000-000039000000}"/>
    <cellStyle name="Moneda 2 8" xfId="29" xr:uid="{00000000-0005-0000-0000-00003A000000}"/>
    <cellStyle name="Moneda 2 9" xfId="30" xr:uid="{00000000-0005-0000-0000-00003B000000}"/>
    <cellStyle name="Moneda 3" xfId="31" xr:uid="{00000000-0005-0000-0000-00003C000000}"/>
    <cellStyle name="Moneda 3 2" xfId="32" xr:uid="{00000000-0005-0000-0000-00003D000000}"/>
    <cellStyle name="Moneda 3 3" xfId="96" xr:uid="{00000000-0005-0000-0000-00003E000000}"/>
    <cellStyle name="Moneda 3_MEMORIAS" xfId="111" xr:uid="{00000000-0005-0000-0000-00003F000000}"/>
    <cellStyle name="Moneda 4" xfId="33" xr:uid="{00000000-0005-0000-0000-000040000000}"/>
    <cellStyle name="Moneda 5" xfId="34" xr:uid="{00000000-0005-0000-0000-000041000000}"/>
    <cellStyle name="Moneda 6" xfId="35" xr:uid="{00000000-0005-0000-0000-000042000000}"/>
    <cellStyle name="Moneda 7" xfId="145" xr:uid="{00000000-0005-0000-0000-000043000000}"/>
    <cellStyle name="Normal" xfId="0" builtinId="0"/>
    <cellStyle name="Normal 10" xfId="126" xr:uid="{00000000-0005-0000-0000-000045000000}"/>
    <cellStyle name="Normal 11 2" xfId="149" xr:uid="{00000000-0005-0000-0000-000046000000}"/>
    <cellStyle name="Normal 19" xfId="97" xr:uid="{00000000-0005-0000-0000-000047000000}"/>
    <cellStyle name="Normal 19 2" xfId="98" xr:uid="{00000000-0005-0000-0000-000048000000}"/>
    <cellStyle name="Normal 2" xfId="36" xr:uid="{00000000-0005-0000-0000-000049000000}"/>
    <cellStyle name="Normal 2 10" xfId="37" xr:uid="{00000000-0005-0000-0000-00004A000000}"/>
    <cellStyle name="Normal 2 10 3" xfId="134" xr:uid="{00000000-0005-0000-0000-00004B000000}"/>
    <cellStyle name="Normal 2 2" xfId="99" xr:uid="{00000000-0005-0000-0000-00004C000000}"/>
    <cellStyle name="Normal 2 2 2" xfId="137" xr:uid="{00000000-0005-0000-0000-00004D000000}"/>
    <cellStyle name="Normal 2 2 3" xfId="38" xr:uid="{00000000-0005-0000-0000-00004E000000}"/>
    <cellStyle name="Normal 2 3" xfId="146" xr:uid="{00000000-0005-0000-0000-00004F000000}"/>
    <cellStyle name="Normal 23" xfId="148" xr:uid="{00000000-0005-0000-0000-000050000000}"/>
    <cellStyle name="Normal 3" xfId="39" xr:uid="{00000000-0005-0000-0000-000051000000}"/>
    <cellStyle name="Normal 3 10" xfId="121" xr:uid="{00000000-0005-0000-0000-000052000000}"/>
    <cellStyle name="Normal 3 11" xfId="133" xr:uid="{00000000-0005-0000-0000-000053000000}"/>
    <cellStyle name="Normal 3 2" xfId="40" xr:uid="{00000000-0005-0000-0000-000054000000}"/>
    <cellStyle name="Normal 3 2 2" xfId="135" xr:uid="{00000000-0005-0000-0000-000055000000}"/>
    <cellStyle name="Normal 3 3" xfId="41" xr:uid="{00000000-0005-0000-0000-000056000000}"/>
    <cellStyle name="Normal 3 4" xfId="42" xr:uid="{00000000-0005-0000-0000-000057000000}"/>
    <cellStyle name="Normal 3 5" xfId="43" xr:uid="{00000000-0005-0000-0000-000058000000}"/>
    <cellStyle name="Normal 3 6" xfId="44" xr:uid="{00000000-0005-0000-0000-000059000000}"/>
    <cellStyle name="Normal 3 7" xfId="45" xr:uid="{00000000-0005-0000-0000-00005A000000}"/>
    <cellStyle name="Normal 3 8" xfId="46" xr:uid="{00000000-0005-0000-0000-00005B000000}"/>
    <cellStyle name="Normal 3 9" xfId="47" xr:uid="{00000000-0005-0000-0000-00005C000000}"/>
    <cellStyle name="Normal 3_MEMORIAS" xfId="112" xr:uid="{00000000-0005-0000-0000-00005D000000}"/>
    <cellStyle name="Normal 4" xfId="48" xr:uid="{00000000-0005-0000-0000-00005E000000}"/>
    <cellStyle name="Normal 4 10" xfId="141" xr:uid="{00000000-0005-0000-0000-00005F000000}"/>
    <cellStyle name="Normal 4 2" xfId="49" xr:uid="{00000000-0005-0000-0000-000060000000}"/>
    <cellStyle name="Normal 4 2 2" xfId="123" xr:uid="{00000000-0005-0000-0000-000061000000}"/>
    <cellStyle name="Normal 4 3" xfId="50" xr:uid="{00000000-0005-0000-0000-000062000000}"/>
    <cellStyle name="Normal 4 4" xfId="51" xr:uid="{00000000-0005-0000-0000-000063000000}"/>
    <cellStyle name="Normal 4 5" xfId="52" xr:uid="{00000000-0005-0000-0000-000064000000}"/>
    <cellStyle name="Normal 4 6" xfId="53" xr:uid="{00000000-0005-0000-0000-000065000000}"/>
    <cellStyle name="Normal 4 7" xfId="54" xr:uid="{00000000-0005-0000-0000-000066000000}"/>
    <cellStyle name="Normal 4 8" xfId="55" xr:uid="{00000000-0005-0000-0000-000067000000}"/>
    <cellStyle name="Normal 4 9" xfId="56" xr:uid="{00000000-0005-0000-0000-000068000000}"/>
    <cellStyle name="Normal 4_MEMORIAS" xfId="113" xr:uid="{00000000-0005-0000-0000-000069000000}"/>
    <cellStyle name="Normal 5" xfId="57" xr:uid="{00000000-0005-0000-0000-00006A000000}"/>
    <cellStyle name="Normal 5 10" xfId="116" xr:uid="{00000000-0005-0000-0000-00006B000000}"/>
    <cellStyle name="Normal 5 11" xfId="140" xr:uid="{00000000-0005-0000-0000-00006C000000}"/>
    <cellStyle name="Normal 5 2" xfId="58" xr:uid="{00000000-0005-0000-0000-00006D000000}"/>
    <cellStyle name="Normal 5 3" xfId="59" xr:uid="{00000000-0005-0000-0000-00006E000000}"/>
    <cellStyle name="Normal 5 4" xfId="60" xr:uid="{00000000-0005-0000-0000-00006F000000}"/>
    <cellStyle name="Normal 5 5" xfId="61" xr:uid="{00000000-0005-0000-0000-000070000000}"/>
    <cellStyle name="Normal 5 6" xfId="62" xr:uid="{00000000-0005-0000-0000-000071000000}"/>
    <cellStyle name="Normal 5 7" xfId="63" xr:uid="{00000000-0005-0000-0000-000072000000}"/>
    <cellStyle name="Normal 5 8" xfId="64" xr:uid="{00000000-0005-0000-0000-000073000000}"/>
    <cellStyle name="Normal 5 9" xfId="100" xr:uid="{00000000-0005-0000-0000-000074000000}"/>
    <cellStyle name="Normal 5_MEMORIAS" xfId="114" xr:uid="{00000000-0005-0000-0000-000075000000}"/>
    <cellStyle name="Normal 6" xfId="65" xr:uid="{00000000-0005-0000-0000-000076000000}"/>
    <cellStyle name="Normal 6 2" xfId="66" xr:uid="{00000000-0005-0000-0000-000077000000}"/>
    <cellStyle name="Normal 6 3" xfId="67" xr:uid="{00000000-0005-0000-0000-000078000000}"/>
    <cellStyle name="Normal 6 4" xfId="68" xr:uid="{00000000-0005-0000-0000-000079000000}"/>
    <cellStyle name="Normal 6 5" xfId="69" xr:uid="{00000000-0005-0000-0000-00007A000000}"/>
    <cellStyle name="Normal 6 6" xfId="70" xr:uid="{00000000-0005-0000-0000-00007B000000}"/>
    <cellStyle name="Normal 6 7" xfId="71" xr:uid="{00000000-0005-0000-0000-00007C000000}"/>
    <cellStyle name="Normal 6 8" xfId="72" xr:uid="{00000000-0005-0000-0000-00007D000000}"/>
    <cellStyle name="Normal 7" xfId="73" xr:uid="{00000000-0005-0000-0000-00007E000000}"/>
    <cellStyle name="Normal 7 2" xfId="74" xr:uid="{00000000-0005-0000-0000-00007F000000}"/>
    <cellStyle name="Normal 7 3" xfId="75" xr:uid="{00000000-0005-0000-0000-000080000000}"/>
    <cellStyle name="Normal 7 4" xfId="76" xr:uid="{00000000-0005-0000-0000-000081000000}"/>
    <cellStyle name="Normal 7 5" xfId="77" xr:uid="{00000000-0005-0000-0000-000082000000}"/>
    <cellStyle name="Normal 7 6" xfId="78" xr:uid="{00000000-0005-0000-0000-000083000000}"/>
    <cellStyle name="Normal 7 7" xfId="79" xr:uid="{00000000-0005-0000-0000-000084000000}"/>
    <cellStyle name="Normal 7 8" xfId="80" xr:uid="{00000000-0005-0000-0000-000085000000}"/>
    <cellStyle name="Normal 8" xfId="139" xr:uid="{00000000-0005-0000-0000-000086000000}"/>
    <cellStyle name="Normal_APU ADICIONALES" xfId="101" xr:uid="{00000000-0005-0000-0000-000087000000}"/>
    <cellStyle name="Normal_Macro APUS" xfId="142" xr:uid="{00000000-0005-0000-0000-000088000000}"/>
    <cellStyle name="Porcentaje" xfId="108" builtinId="5"/>
    <cellStyle name="Porcentaje 2" xfId="81" xr:uid="{00000000-0005-0000-0000-00008A000000}"/>
    <cellStyle name="Porcentaje 2 2" xfId="147" xr:uid="{00000000-0005-0000-0000-00008B000000}"/>
    <cellStyle name="Porcentaje 3" xfId="82" xr:uid="{00000000-0005-0000-0000-00008C000000}"/>
    <cellStyle name="Porcentaje 4" xfId="128" xr:uid="{00000000-0005-0000-0000-00008D000000}"/>
    <cellStyle name="Porcentual 10" xfId="127" xr:uid="{00000000-0005-0000-0000-00008E000000}"/>
    <cellStyle name="Porcentual 2" xfId="83" xr:uid="{00000000-0005-0000-0000-00008F000000}"/>
    <cellStyle name="Porcentual 2 2" xfId="84" xr:uid="{00000000-0005-0000-0000-000090000000}"/>
    <cellStyle name="Porcentual 2 2 2" xfId="85" xr:uid="{00000000-0005-0000-0000-000091000000}"/>
    <cellStyle name="Porcentual 2 2 3" xfId="86" xr:uid="{00000000-0005-0000-0000-000092000000}"/>
    <cellStyle name="Porcentual 3" xfId="87" xr:uid="{00000000-0005-0000-0000-000093000000}"/>
    <cellStyle name="Porcentual 4" xfId="88" xr:uid="{00000000-0005-0000-0000-000094000000}"/>
    <cellStyle name="Porcentual 5" xfId="89" xr:uid="{00000000-0005-0000-0000-000095000000}"/>
  </cellStyles>
  <dxfs count="0"/>
  <tableStyles count="0" defaultTableStyle="TableStyleMedium2" defaultPivotStyle="PivotStyleLight16"/>
  <colors>
    <mruColors>
      <color rgb="FFFFFF99"/>
      <color rgb="FFFFC91D"/>
      <color rgb="FFFF99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</xdr:row>
      <xdr:rowOff>38100</xdr:rowOff>
    </xdr:from>
    <xdr:to>
      <xdr:col>2</xdr:col>
      <xdr:colOff>1028700</xdr:colOff>
      <xdr:row>6</xdr:row>
      <xdr:rowOff>160406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200025"/>
          <a:ext cx="1219200" cy="1284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230718</xdr:colOff>
      <xdr:row>1</xdr:row>
      <xdr:rowOff>140759</xdr:rowOff>
    </xdr:from>
    <xdr:to>
      <xdr:col>6</xdr:col>
      <xdr:colOff>976844</xdr:colOff>
      <xdr:row>5</xdr:row>
      <xdr:rowOff>112642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6668" y="302684"/>
          <a:ext cx="746126" cy="93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2118</xdr:colOff>
      <xdr:row>1</xdr:row>
      <xdr:rowOff>150284</xdr:rowOff>
    </xdr:from>
    <xdr:to>
      <xdr:col>6</xdr:col>
      <xdr:colOff>838200</xdr:colOff>
      <xdr:row>5</xdr:row>
      <xdr:rowOff>122167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420B3A-1647-4DA6-975B-84A06688A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3918" y="312209"/>
          <a:ext cx="836082" cy="93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1</xdr:row>
      <xdr:rowOff>361950</xdr:rowOff>
    </xdr:from>
    <xdr:to>
      <xdr:col>2</xdr:col>
      <xdr:colOff>962026</xdr:colOff>
      <xdr:row>5</xdr:row>
      <xdr:rowOff>23001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4EA5802D-692F-47A3-B729-8F2D1738F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35" t="45691" r="5974" b="37323"/>
        <a:stretch>
          <a:fillRect/>
        </a:stretch>
      </xdr:blipFill>
      <xdr:spPr bwMode="auto">
        <a:xfrm>
          <a:off x="190500" y="523875"/>
          <a:ext cx="1685926" cy="623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230718</xdr:colOff>
      <xdr:row>1</xdr:row>
      <xdr:rowOff>140759</xdr:rowOff>
    </xdr:from>
    <xdr:to>
      <xdr:col>6</xdr:col>
      <xdr:colOff>976844</xdr:colOff>
      <xdr:row>5</xdr:row>
      <xdr:rowOff>112642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8143" y="302684"/>
          <a:ext cx="746126" cy="93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</xdr:colOff>
      <xdr:row>1</xdr:row>
      <xdr:rowOff>361950</xdr:rowOff>
    </xdr:from>
    <xdr:to>
      <xdr:col>2</xdr:col>
      <xdr:colOff>1266826</xdr:colOff>
      <xdr:row>4</xdr:row>
      <xdr:rowOff>156351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35" t="45691" r="5974" b="37323"/>
        <a:stretch>
          <a:fillRect/>
        </a:stretch>
      </xdr:blipFill>
      <xdr:spPr bwMode="auto">
        <a:xfrm>
          <a:off x="238125" y="523875"/>
          <a:ext cx="1685926" cy="594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1</xdr:row>
      <xdr:rowOff>38100</xdr:rowOff>
    </xdr:from>
    <xdr:to>
      <xdr:col>2</xdr:col>
      <xdr:colOff>95250</xdr:colOff>
      <xdr:row>6</xdr:row>
      <xdr:rowOff>160406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28600"/>
          <a:ext cx="1219200" cy="1284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240243</xdr:colOff>
      <xdr:row>1</xdr:row>
      <xdr:rowOff>121709</xdr:rowOff>
    </xdr:from>
    <xdr:to>
      <xdr:col>9</xdr:col>
      <xdr:colOff>319619</xdr:colOff>
      <xdr:row>5</xdr:row>
      <xdr:rowOff>93592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2368" y="312209"/>
          <a:ext cx="746126" cy="93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240243</xdr:colOff>
      <xdr:row>1</xdr:row>
      <xdr:rowOff>121709</xdr:rowOff>
    </xdr:from>
    <xdr:to>
      <xdr:col>9</xdr:col>
      <xdr:colOff>319619</xdr:colOff>
      <xdr:row>5</xdr:row>
      <xdr:rowOff>93592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0943" y="312209"/>
          <a:ext cx="746126" cy="93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1</xdr:row>
      <xdr:rowOff>381000</xdr:rowOff>
    </xdr:from>
    <xdr:to>
      <xdr:col>1</xdr:col>
      <xdr:colOff>1781176</xdr:colOff>
      <xdr:row>5</xdr:row>
      <xdr:rowOff>13476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35" t="45691" r="5974" b="37323"/>
        <a:stretch>
          <a:fillRect/>
        </a:stretch>
      </xdr:blipFill>
      <xdr:spPr bwMode="auto">
        <a:xfrm>
          <a:off x="304800" y="571500"/>
          <a:ext cx="1685926" cy="594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66675</xdr:rowOff>
    </xdr:from>
    <xdr:to>
      <xdr:col>2</xdr:col>
      <xdr:colOff>1182466</xdr:colOff>
      <xdr:row>6</xdr:row>
      <xdr:rowOff>140759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28600"/>
          <a:ext cx="1182466" cy="12361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87843</xdr:colOff>
      <xdr:row>1</xdr:row>
      <xdr:rowOff>178859</xdr:rowOff>
    </xdr:from>
    <xdr:to>
      <xdr:col>5</xdr:col>
      <xdr:colOff>414869</xdr:colOff>
      <xdr:row>5</xdr:row>
      <xdr:rowOff>150742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1993" y="340784"/>
          <a:ext cx="746126" cy="93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66673</xdr:colOff>
      <xdr:row>1</xdr:row>
      <xdr:rowOff>85723</xdr:rowOff>
    </xdr:from>
    <xdr:to>
      <xdr:col>4</xdr:col>
      <xdr:colOff>866774</xdr:colOff>
      <xdr:row>6</xdr:row>
      <xdr:rowOff>148294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898" y="238123"/>
          <a:ext cx="800101" cy="1015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47625</xdr:colOff>
      <xdr:row>1</xdr:row>
      <xdr:rowOff>38100</xdr:rowOff>
    </xdr:from>
    <xdr:to>
      <xdr:col>1</xdr:col>
      <xdr:colOff>1083001</xdr:colOff>
      <xdr:row>6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90500"/>
          <a:ext cx="1035376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1</xdr:row>
      <xdr:rowOff>428625</xdr:rowOff>
    </xdr:from>
    <xdr:to>
      <xdr:col>8</xdr:col>
      <xdr:colOff>342900</xdr:colOff>
      <xdr:row>4</xdr:row>
      <xdr:rowOff>228600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628650"/>
          <a:ext cx="12192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87842</xdr:colOff>
      <xdr:row>1</xdr:row>
      <xdr:rowOff>497417</xdr:rowOff>
    </xdr:from>
    <xdr:to>
      <xdr:col>3</xdr:col>
      <xdr:colOff>1230842</xdr:colOff>
      <xdr:row>5</xdr:row>
      <xdr:rowOff>159808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35" t="45691" r="5974" b="37323"/>
        <a:stretch>
          <a:fillRect/>
        </a:stretch>
      </xdr:blipFill>
      <xdr:spPr bwMode="auto">
        <a:xfrm>
          <a:off x="278342" y="698500"/>
          <a:ext cx="2465917" cy="985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idyjohanna\Downloads\1.%20%20Presupuesto%20de%20Obra%20(Parcheo%20La%20%20Pradera)%20Con%20precios%20Aguas%20Manizales%20(2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atanmauricio\Downloads\F:\VILLA%20TAKOA\Presupuesto\APUS%20VILLA%20TAKO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a21/Downloads/Documents%20and%20Settings/alejandrora/Configuraci&#243;n%20local/Archivos%20temporales%20de%20Internet/Content.Outlook/F0XXD406/Copia%20de%20BASE%20DE%20DATOS%20A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MARINME\Downloads\Documents%20and%20Settings\alejandrora\Configuraci&#243;n%20local\Archivos%20temporales%20de%20Internet\Content.Outlook\F0XXD406\Copia%20de%20BASE%20DE%20DATOS%20A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Analisis Mano de Obra"/>
      <sheetName val="Analisis Herramienta Menor"/>
      <sheetName val="Analisis Factor Prestacional"/>
      <sheetName val="Analisis AIU"/>
    </sheetNames>
    <sheetDataSet>
      <sheetData sheetId="0"/>
      <sheetData sheetId="1"/>
      <sheetData sheetId="2">
        <row r="5">
          <cell r="B5" t="str">
            <v>MANIZALES</v>
          </cell>
        </row>
      </sheetData>
      <sheetData sheetId="3">
        <row r="17101">
          <cell r="C17101" t="str">
            <v>ANALISIS BASICOS</v>
          </cell>
        </row>
      </sheetData>
      <sheetData sheetId="4">
        <row r="2">
          <cell r="B2" t="str">
            <v>MANIZALES</v>
          </cell>
        </row>
      </sheetData>
      <sheetData sheetId="5"/>
      <sheetData sheetId="6">
        <row r="24">
          <cell r="F24">
            <v>2495</v>
          </cell>
        </row>
      </sheetData>
      <sheetData sheetId="7">
        <row r="3">
          <cell r="A3" t="str">
            <v>Datos Basicos año 2020</v>
          </cell>
        </row>
      </sheetData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ías habiles 2015"/>
      <sheetName val="POR REGIONES"/>
      <sheetName val="PRESUPUESTO DETALLADO"/>
      <sheetName val="PRESUPUESTO BASE POLIDEPORTIVO"/>
      <sheetName val="AHORROS"/>
      <sheetName val="MANTENIMIENTO y OPERACIÓN"/>
      <sheetName val="PRESUPUESTO DE E&amp;D"/>
    </sheetNames>
    <sheetDataSet>
      <sheetData sheetId="0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56"/>
  <sheetViews>
    <sheetView topLeftCell="A7" zoomScaleNormal="100" zoomScaleSheetLayoutView="100" workbookViewId="0">
      <selection activeCell="G11" sqref="G11"/>
    </sheetView>
  </sheetViews>
  <sheetFormatPr baseColWidth="10" defaultColWidth="10.88671875" defaultRowHeight="13.8" x14ac:dyDescent="0.3"/>
  <cols>
    <col min="1" max="1" width="2.44140625" style="2" customWidth="1"/>
    <col min="2" max="2" width="7.44140625" style="2" customWidth="1"/>
    <col min="3" max="3" width="53.6640625" style="2" customWidth="1"/>
    <col min="4" max="4" width="4.88671875" style="27" bestFit="1" customWidth="1"/>
    <col min="5" max="5" width="9.44140625" style="27" customWidth="1"/>
    <col min="6" max="6" width="13.109375" style="92" bestFit="1" customWidth="1"/>
    <col min="7" max="7" width="20.33203125" style="92" bestFit="1" customWidth="1"/>
    <col min="8" max="8" width="3.109375" style="2" customWidth="1"/>
    <col min="9" max="10" width="15.44140625" style="2" bestFit="1" customWidth="1"/>
    <col min="11" max="16384" width="10.88671875" style="2"/>
  </cols>
  <sheetData>
    <row r="2" spans="2:9" ht="31.5" customHeight="1" x14ac:dyDescent="0.3">
      <c r="B2" s="498" t="s">
        <v>92</v>
      </c>
      <c r="C2" s="499"/>
      <c r="D2" s="499"/>
      <c r="E2" s="499"/>
      <c r="F2" s="499"/>
      <c r="G2" s="500"/>
    </row>
    <row r="3" spans="2:9" ht="15.6" x14ac:dyDescent="0.3">
      <c r="B3" s="64"/>
      <c r="C3" s="65"/>
      <c r="D3" s="65"/>
      <c r="E3" s="66"/>
      <c r="F3" s="65"/>
      <c r="G3" s="67"/>
    </row>
    <row r="4" spans="2:9" ht="15.6" x14ac:dyDescent="0.3">
      <c r="B4" s="501" t="s">
        <v>171</v>
      </c>
      <c r="C4" s="502"/>
      <c r="D4" s="502"/>
      <c r="E4" s="502"/>
      <c r="F4" s="502"/>
      <c r="G4" s="503"/>
    </row>
    <row r="5" spans="2:9" x14ac:dyDescent="0.3">
      <c r="B5" s="68"/>
      <c r="C5" s="69"/>
      <c r="D5" s="70"/>
      <c r="F5" s="71"/>
      <c r="G5" s="72"/>
    </row>
    <row r="6" spans="2:9" ht="15.6" x14ac:dyDescent="0.3">
      <c r="B6" s="501" t="s">
        <v>156</v>
      </c>
      <c r="C6" s="502"/>
      <c r="D6" s="502"/>
      <c r="E6" s="502"/>
      <c r="F6" s="502"/>
      <c r="G6" s="503"/>
    </row>
    <row r="7" spans="2:9" ht="14.4" x14ac:dyDescent="0.3">
      <c r="B7" s="73"/>
      <c r="C7" s="74"/>
      <c r="D7" s="74"/>
      <c r="E7" s="75"/>
      <c r="F7" s="76" t="s">
        <v>157</v>
      </c>
      <c r="G7" s="77">
        <v>43741</v>
      </c>
    </row>
    <row r="8" spans="2:9" x14ac:dyDescent="0.3">
      <c r="D8" s="2"/>
      <c r="E8" s="2"/>
      <c r="F8" s="2"/>
      <c r="G8" s="2"/>
    </row>
    <row r="9" spans="2:9" ht="27.6" x14ac:dyDescent="0.3">
      <c r="B9" s="78" t="s">
        <v>130</v>
      </c>
      <c r="C9" s="78" t="s">
        <v>14</v>
      </c>
      <c r="D9" s="78" t="s">
        <v>158</v>
      </c>
      <c r="E9" s="78" t="s">
        <v>4</v>
      </c>
      <c r="F9" s="78" t="s">
        <v>159</v>
      </c>
      <c r="G9" s="78" t="s">
        <v>160</v>
      </c>
    </row>
    <row r="10" spans="2:9" x14ac:dyDescent="0.3">
      <c r="B10" s="504" t="s">
        <v>161</v>
      </c>
      <c r="C10" s="505"/>
      <c r="D10" s="505"/>
      <c r="E10" s="505"/>
      <c r="F10" s="505"/>
      <c r="G10" s="506"/>
    </row>
    <row r="11" spans="2:9" x14ac:dyDescent="0.3">
      <c r="B11" s="79" t="str">
        <f>+'Item de Pago'!B10</f>
        <v>1</v>
      </c>
      <c r="C11" s="80" t="str">
        <f>+'Item de Pago'!C10</f>
        <v>CONSTRUCCIÓN DE PLACAS HUELLAS</v>
      </c>
      <c r="D11" s="81"/>
      <c r="E11" s="81"/>
      <c r="F11" s="82"/>
      <c r="G11" s="83">
        <f>SUM(G12:G21)</f>
        <v>102982817</v>
      </c>
    </row>
    <row r="12" spans="2:9" x14ac:dyDescent="0.3">
      <c r="B12" s="84">
        <f>+'Item de Pago'!B11</f>
        <v>1.1000000000000001</v>
      </c>
      <c r="C12" s="85" t="str">
        <f>IF($B12=0,"",VLOOKUP($B12,'Item de Pago'!B2:F37,2,FALSE))</f>
        <v>LOCALIZACIÓN Y REPLANTEO</v>
      </c>
      <c r="D12" s="86" t="str">
        <f>IF($B12=0,"",VLOOKUP($B12,'Item de Pago'!B2:F38,4,FALSE))</f>
        <v>M2</v>
      </c>
      <c r="E12" s="37">
        <v>128.733</v>
      </c>
      <c r="F12" s="86">
        <f>IF($B12=0,"",VLOOKUP($B12,'Item de Pago'!B2:F37,5,FALSE))</f>
        <v>3261</v>
      </c>
      <c r="G12" s="87">
        <f>ROUND(E12*F12,0)</f>
        <v>419798</v>
      </c>
      <c r="H12" s="88"/>
      <c r="I12" s="89"/>
    </row>
    <row r="13" spans="2:9" ht="27.6" x14ac:dyDescent="0.3">
      <c r="B13" s="84">
        <f>+'Item de Pago'!B12</f>
        <v>1.2</v>
      </c>
      <c r="C13" s="85" t="str">
        <f>IF($B13=0,"",VLOOKUP($B13,'Item de Pago'!B3:F38,2,FALSE))</f>
        <v>EXCAVACIÓN MANUAL PARA ESTRUCTURAS - MATERIAL COMÚN - 0.0 A 2.0 M</v>
      </c>
      <c r="D13" s="86" t="str">
        <f>IF($B13=0,"",VLOOKUP($B13,'Item de Pago'!B3:F39,4,FALSE))</f>
        <v>M3</v>
      </c>
      <c r="E13" s="37">
        <f>+'Memorias Cantidades'!J19</f>
        <v>165</v>
      </c>
      <c r="F13" s="86">
        <f>IF($B13=0,"",VLOOKUP($B13,'Item de Pago'!B3:F38,5,FALSE))</f>
        <v>25078</v>
      </c>
      <c r="G13" s="87">
        <f t="shared" ref="G13:G21" si="0">ROUND(E13*F13,0)</f>
        <v>4137870</v>
      </c>
      <c r="H13" s="88"/>
      <c r="I13" s="89"/>
    </row>
    <row r="14" spans="2:9" x14ac:dyDescent="0.3">
      <c r="B14" s="84">
        <f>+'Item de Pago'!B13</f>
        <v>1.3</v>
      </c>
      <c r="C14" s="85" t="str">
        <f>IF($B14=0,"",VLOOKUP($B14,'Item de Pago'!B4:F39,2,FALSE))</f>
        <v>RETIRO DE MATERIAL SOBRANTE EN VOLQUETA, CARGUE MANUAL</v>
      </c>
      <c r="D14" s="86" t="str">
        <f>IF($B14=0,"",VLOOKUP($B14,'Item de Pago'!B4:F40,4,FALSE))</f>
        <v>M3</v>
      </c>
      <c r="E14" s="37">
        <f>+'Memorias Cantidades'!J20</f>
        <v>165</v>
      </c>
      <c r="F14" s="86">
        <f>IF($B14=0,"",VLOOKUP($B14,'Item de Pago'!B4:F39,5,FALSE))</f>
        <v>30666</v>
      </c>
      <c r="G14" s="87">
        <f t="shared" si="0"/>
        <v>5059890</v>
      </c>
      <c r="H14" s="88"/>
      <c r="I14" s="89"/>
    </row>
    <row r="15" spans="2:9" x14ac:dyDescent="0.3">
      <c r="B15" s="84">
        <f>+'Item de Pago'!B14</f>
        <v>1.4</v>
      </c>
      <c r="C15" s="85" t="str">
        <f>IF($B15=0,"",VLOOKUP($B15,'Item de Pago'!B5:F40,2,FALSE))</f>
        <v>CONFORMACIÓN DE LA SUBRASANTE</v>
      </c>
      <c r="D15" s="86" t="str">
        <f>IF($B15=0,"",VLOOKUP($B15,'Item de Pago'!B5:F41,4,FALSE))</f>
        <v>M2</v>
      </c>
      <c r="E15" s="37">
        <f>+'Memorias Cantidades'!J21</f>
        <v>549</v>
      </c>
      <c r="F15" s="86">
        <f>IF($B15=0,"",VLOOKUP($B15,'Item de Pago'!B5:F40,5,FALSE))</f>
        <v>4600</v>
      </c>
      <c r="G15" s="87">
        <f t="shared" si="0"/>
        <v>2525400</v>
      </c>
      <c r="H15" s="88"/>
      <c r="I15" s="89"/>
    </row>
    <row r="16" spans="2:9" x14ac:dyDescent="0.3">
      <c r="B16" s="84">
        <f>+'Item de Pago'!B15</f>
        <v>1.5</v>
      </c>
      <c r="C16" s="85" t="str">
        <f>IF($B16=0,"",VLOOKUP($B16,'Item de Pago'!B6:F41,2,FALSE))</f>
        <v>AFIRMADO COMPACTADO PARA ESTRUCTURAS</v>
      </c>
      <c r="D16" s="86" t="str">
        <f>IF($B16=0,"",VLOOKUP($B16,'Item de Pago'!B6:F42,4,FALSE))</f>
        <v>M3</v>
      </c>
      <c r="E16" s="37">
        <f>+'Memorias Cantidades'!J22</f>
        <v>82</v>
      </c>
      <c r="F16" s="86">
        <f>IF($B16=0,"",VLOOKUP($B16,'Item de Pago'!B6:F41,5,FALSE))</f>
        <v>93336</v>
      </c>
      <c r="G16" s="87">
        <f t="shared" si="0"/>
        <v>7653552</v>
      </c>
      <c r="H16" s="88"/>
      <c r="I16" s="89"/>
    </row>
    <row r="17" spans="2:10" ht="27.6" x14ac:dyDescent="0.3">
      <c r="B17" s="84">
        <f>+'Item de Pago'!B16</f>
        <v>1.6</v>
      </c>
      <c r="C17" s="85" t="str">
        <f>IF($B17=0,"",VLOOKUP($B17,'Item de Pago'!B7:F42,2,FALSE))</f>
        <v>CONCRETO DE 210 KG/CM² (3.000 PSI), ESPESOR 0,15 M - PLACAS HUELLAS Y VIGAS RIOSTRAS</v>
      </c>
      <c r="D17" s="86" t="str">
        <f>IF($B17=0,"",VLOOKUP($B17,'Item de Pago'!B7:F43,4,FALSE))</f>
        <v>M3</v>
      </c>
      <c r="E17" s="37">
        <f>+'Memorias Cantidades'!J23</f>
        <v>50</v>
      </c>
      <c r="F17" s="86">
        <f>IF($B17=0,"",VLOOKUP($B17,'Item de Pago'!B7:F42,5,FALSE))</f>
        <v>743871</v>
      </c>
      <c r="G17" s="87">
        <f t="shared" si="0"/>
        <v>37193550</v>
      </c>
      <c r="H17" s="88"/>
      <c r="I17" s="89"/>
    </row>
    <row r="18" spans="2:10" ht="27.6" x14ac:dyDescent="0.3">
      <c r="B18" s="84">
        <f>+'Item de Pago'!B17</f>
        <v>1.7</v>
      </c>
      <c r="C18" s="85" t="str">
        <f>IF($B18=0,"",VLOOKUP($B18,'Item de Pago'!B8:F43,2,FALSE))</f>
        <v>CONCRETO CICLÓPEO ESPESOR 0,15 M (60% CONCRETO 3000 PSI Y 40% PIEDRA DE MANO)</v>
      </c>
      <c r="D18" s="86" t="str">
        <f>IF($B18=0,"",VLOOKUP($B18,'Item de Pago'!B8:F44,4,FALSE))</f>
        <v>M3</v>
      </c>
      <c r="E18" s="37">
        <f>+'Memorias Cantidades'!J24</f>
        <v>18</v>
      </c>
      <c r="F18" s="86">
        <f>IF($B18=0,"",VLOOKUP($B18,'Item de Pago'!B8:F43,5,FALSE))</f>
        <v>363786</v>
      </c>
      <c r="G18" s="87">
        <f t="shared" si="0"/>
        <v>6548148</v>
      </c>
      <c r="H18" s="88"/>
      <c r="I18" s="89"/>
    </row>
    <row r="19" spans="2:10" ht="27.6" x14ac:dyDescent="0.3">
      <c r="B19" s="84">
        <f>+'Item de Pago'!B18</f>
        <v>1.8</v>
      </c>
      <c r="C19" s="85" t="str">
        <f>IF($B19=0,"",VLOOKUP($B19,'Item de Pago'!B9:F44,2,FALSE))</f>
        <v>ACERO DE REFUERZO 4.200 KG/CM²  (60.000 PSI) PARA PLACAS Y RIOSTRAS. (INCLUYE ALAMBRE NEGRO Y FIGURACION)</v>
      </c>
      <c r="D19" s="86" t="str">
        <f>IF($B19=0,"",VLOOKUP($B19,'Item de Pago'!B9:F45,4,FALSE))</f>
        <v>KG</v>
      </c>
      <c r="E19" s="37">
        <f>+'Memorias Cantidades'!J25</f>
        <v>5204</v>
      </c>
      <c r="F19" s="86">
        <f>IF($B19=0,"",VLOOKUP($B19,'Item de Pago'!B9:F44,5,FALSE))</f>
        <v>4919</v>
      </c>
      <c r="G19" s="87">
        <f t="shared" si="0"/>
        <v>25598476</v>
      </c>
      <c r="H19" s="88"/>
      <c r="I19" s="89"/>
    </row>
    <row r="20" spans="2:10" ht="27.6" x14ac:dyDescent="0.3">
      <c r="B20" s="84">
        <f>+'Item de Pago'!B19</f>
        <v>1.9</v>
      </c>
      <c r="C20" s="85" t="str">
        <f>IF($B20=0,"",VLOOKUP($B20,'Item de Pago'!B10:F45,2,FALSE))</f>
        <v>CUNETA Y BORDILLO PARA VÍA VEHICULAR CONCRETO CLASE II PRODUCIDO EN OBRA</v>
      </c>
      <c r="D20" s="86" t="str">
        <f>IF($B20=0,"",VLOOKUP($B20,'Item de Pago'!B10:F46,4,FALSE))</f>
        <v>M3</v>
      </c>
      <c r="E20" s="37">
        <f>+'Memorias Cantidades'!J26</f>
        <v>25</v>
      </c>
      <c r="F20" s="86">
        <f>IF($B20=0,"",VLOOKUP($B20,'Item de Pago'!B10:F45,5,FALSE))</f>
        <v>553454</v>
      </c>
      <c r="G20" s="87">
        <f t="shared" si="0"/>
        <v>13836350</v>
      </c>
      <c r="H20" s="88"/>
      <c r="I20" s="89"/>
      <c r="J20" s="93"/>
    </row>
    <row r="21" spans="2:10" ht="27.6" x14ac:dyDescent="0.3">
      <c r="B21" s="37">
        <f>+'Item de Pago'!B20</f>
        <v>1.1000000000000001</v>
      </c>
      <c r="C21" s="85" t="str">
        <f>IF($B21=0,"",VLOOKUP($B21,'Item de Pago'!B12:F37,2,FALSE))</f>
        <v>SARDINEL ANCHO = 20 CM H =  ENTRE  17 Y 24 CM  EN CONCRETO 3000 PSI</v>
      </c>
      <c r="D21" s="86" t="str">
        <f>IF($B21=0,"",VLOOKUP($B21,'Item de Pago'!B11:F47,4,FALSE))</f>
        <v>M2</v>
      </c>
      <c r="E21" s="37">
        <f>+'Memorias Cantidades'!J27</f>
        <v>3</v>
      </c>
      <c r="F21" s="86">
        <f>IF($B21=0,"",VLOOKUP($B21,'Item de Pago'!B11:F46,5,FALSE))</f>
        <v>3261</v>
      </c>
      <c r="G21" s="87">
        <f t="shared" si="0"/>
        <v>9783</v>
      </c>
      <c r="H21" s="88"/>
      <c r="I21" s="89"/>
    </row>
    <row r="22" spans="2:10" x14ac:dyDescent="0.3">
      <c r="D22" s="2"/>
      <c r="E22" s="2"/>
      <c r="F22" s="2"/>
      <c r="G22" s="2"/>
    </row>
    <row r="23" spans="2:10" ht="27.6" x14ac:dyDescent="0.3">
      <c r="B23" s="79" t="str">
        <f>+'Item de Pago'!B22</f>
        <v>2</v>
      </c>
      <c r="C23" s="80" t="str">
        <f>+'Item de Pago'!C22</f>
        <v xml:space="preserve">CONSTRUCCIÓN DE OBRAS DE DRENAJE CON TUBERÍA Y CABEZALES </v>
      </c>
      <c r="D23" s="81"/>
      <c r="E23" s="81"/>
      <c r="F23" s="82"/>
      <c r="G23" s="83">
        <f>SUM(G24:G27)</f>
        <v>16382259</v>
      </c>
    </row>
    <row r="24" spans="2:10" x14ac:dyDescent="0.3">
      <c r="B24" s="84">
        <f>+'Item de Pago'!B23</f>
        <v>2.1</v>
      </c>
      <c r="C24" s="85" t="str">
        <f>IF($B24=0,"",VLOOKUP($B24,'Item de Pago'!B12:F46,2,FALSE))</f>
        <v>EXCAVACIÓN MANUAL 4,5 M * 2,1 M * 1,6 M PARA CABEZALES</v>
      </c>
      <c r="D24" s="86" t="str">
        <f>IF($B24=0,"",VLOOKUP($B24,'Item de Pago'!B12:F47,4,FALSE))</f>
        <v>M3</v>
      </c>
      <c r="E24" s="37">
        <f>+'Memorias Cantidades'!J30</f>
        <v>30</v>
      </c>
      <c r="F24" s="86">
        <f>IF($B24=0,"",VLOOKUP($B24,'Item de Pago'!B12:F46,5,FALSE))</f>
        <v>25078</v>
      </c>
      <c r="G24" s="87">
        <f>ROUND(E24*F24,0)</f>
        <v>752340</v>
      </c>
      <c r="H24" s="88"/>
      <c r="I24" s="89"/>
    </row>
    <row r="25" spans="2:10" ht="27.6" x14ac:dyDescent="0.3">
      <c r="B25" s="84">
        <f>+'Item de Pago'!B24</f>
        <v>2.2000000000000002</v>
      </c>
      <c r="C25" s="85" t="str">
        <f>IF($B25=0,"",VLOOKUP($B25,'Item de Pago'!B13:F47,2,FALSE))</f>
        <v>CONCRETO RESISTENCIA 140 KG/CM² (2.000 PSI) PARA SOLADOS EN MUROS Y CABEZALES</v>
      </c>
      <c r="D25" s="86" t="str">
        <f>IF($B25=0,"",VLOOKUP($B25,'Item de Pago'!B13:F48,4,FALSE))</f>
        <v>M3</v>
      </c>
      <c r="E25" s="37">
        <f>+'Memorias Cantidades'!J31</f>
        <v>1</v>
      </c>
      <c r="F25" s="86">
        <f>IF($B25=0,"",VLOOKUP($B25,'Item de Pago'!B13:F47,5,FALSE))</f>
        <v>396302</v>
      </c>
      <c r="G25" s="87">
        <f>ROUND(E25*F25,0)</f>
        <v>396302</v>
      </c>
      <c r="H25" s="88"/>
      <c r="I25" s="89"/>
    </row>
    <row r="26" spans="2:10" ht="27.6" x14ac:dyDescent="0.3">
      <c r="B26" s="84">
        <f>+'Item de Pago'!B25</f>
        <v>2.2999999999999998</v>
      </c>
      <c r="C26" s="85" t="str">
        <f>IF($B26=0,"",VLOOKUP($B26,'Item de Pago'!B14:F48,2,FALSE))</f>
        <v>CABEZAL DE ENTREGA DE AGUAS LLUVIAS EN CONCRETO DE 3000 PSI  250 mm (10"). (Incluye acero de refuerzo )</v>
      </c>
      <c r="D26" s="86" t="str">
        <f>IF($B26=0,"",VLOOKUP($B26,'Item de Pago'!B14:F49,4,FALSE))</f>
        <v>UND</v>
      </c>
      <c r="E26" s="37">
        <f>+'Memorias Cantidades'!J32</f>
        <v>7</v>
      </c>
      <c r="F26" s="86">
        <f>IF($B26=0,"",VLOOKUP($B26,'Item de Pago'!B14:F48,5,FALSE))</f>
        <v>1154418</v>
      </c>
      <c r="G26" s="87">
        <f t="shared" ref="G26:G27" si="1">ROUND(E26*F26,0)</f>
        <v>8080926</v>
      </c>
      <c r="H26" s="88"/>
      <c r="I26" s="89"/>
    </row>
    <row r="27" spans="2:10" ht="27.6" x14ac:dyDescent="0.3">
      <c r="B27" s="84">
        <f>+'Item de Pago'!B26</f>
        <v>2.4</v>
      </c>
      <c r="C27" s="85" t="str">
        <f>IF($B27=0,"",VLOOKUP($B27,'Item de Pago'!B15:F49,2,FALSE))</f>
        <v>TUBERÍA DE DIÁMETRO (36" = 0,9 M) UNA POR CADA 100 M PARA ALCANTARILLAS</v>
      </c>
      <c r="D27" s="86" t="str">
        <f>IF($B27=0,"",VLOOKUP($B27,'Item de Pago'!B15:F50,4,FALSE))</f>
        <v>M</v>
      </c>
      <c r="E27" s="37">
        <f>+'Memorias Cantidades'!J33</f>
        <v>6.5</v>
      </c>
      <c r="F27" s="86">
        <f>IF($B27=0,"",VLOOKUP($B27,'Item de Pago'!B15:F49,5,FALSE))</f>
        <v>1100414</v>
      </c>
      <c r="G27" s="87">
        <f t="shared" si="1"/>
        <v>7152691</v>
      </c>
      <c r="H27" s="88"/>
      <c r="I27" s="89"/>
    </row>
    <row r="28" spans="2:10" x14ac:dyDescent="0.3">
      <c r="D28" s="2"/>
      <c r="E28" s="2"/>
      <c r="F28" s="2"/>
      <c r="G28" s="2"/>
    </row>
    <row r="29" spans="2:10" ht="15" customHeight="1" x14ac:dyDescent="0.3">
      <c r="C29" s="90"/>
      <c r="D29" s="90"/>
      <c r="E29" s="485" t="s">
        <v>131</v>
      </c>
      <c r="F29" s="485"/>
      <c r="G29" s="91">
        <f>ROUND(SUM(G11:G27)/2,0)</f>
        <v>119365076</v>
      </c>
    </row>
    <row r="30" spans="2:10" ht="6" customHeight="1" x14ac:dyDescent="0.3"/>
    <row r="31" spans="2:10" ht="18.75" customHeight="1" x14ac:dyDescent="0.3">
      <c r="B31" s="496" t="s">
        <v>162</v>
      </c>
      <c r="C31" s="496"/>
      <c r="D31" s="496"/>
      <c r="E31" s="496"/>
      <c r="F31" s="497"/>
      <c r="G31" s="497"/>
      <c r="J31" s="93"/>
    </row>
    <row r="32" spans="2:10" x14ac:dyDescent="0.3">
      <c r="B32" s="94"/>
      <c r="C32" s="95"/>
      <c r="D32" s="96"/>
      <c r="E32" s="97" t="s">
        <v>34</v>
      </c>
      <c r="F32" s="98">
        <v>0.25</v>
      </c>
      <c r="G32" s="99">
        <f>ROUND($G$29*F32,0)</f>
        <v>29841269</v>
      </c>
    </row>
    <row r="33" spans="2:11" x14ac:dyDescent="0.3">
      <c r="B33" s="94"/>
      <c r="C33" s="95"/>
      <c r="D33" s="96"/>
      <c r="E33" s="97" t="s">
        <v>35</v>
      </c>
      <c r="F33" s="100">
        <v>0</v>
      </c>
      <c r="G33" s="99">
        <f>ROUND($G$29*F33,0)</f>
        <v>0</v>
      </c>
    </row>
    <row r="34" spans="2:11" ht="15" customHeight="1" x14ac:dyDescent="0.3">
      <c r="B34" s="94"/>
      <c r="C34" s="95"/>
      <c r="D34" s="483" t="s">
        <v>36</v>
      </c>
      <c r="E34" s="484"/>
      <c r="F34" s="100">
        <v>0.05</v>
      </c>
      <c r="G34" s="99">
        <f>ROUND($G$29*F34,0)</f>
        <v>5968254</v>
      </c>
    </row>
    <row r="35" spans="2:11" ht="15" customHeight="1" x14ac:dyDescent="0.3">
      <c r="C35" s="90"/>
      <c r="D35" s="90"/>
      <c r="E35" s="485" t="s">
        <v>132</v>
      </c>
      <c r="F35" s="485"/>
      <c r="G35" s="91">
        <f>ROUND(SUM(G32:G34),0)</f>
        <v>35809523</v>
      </c>
    </row>
    <row r="36" spans="2:11" ht="6.75" customHeight="1" x14ac:dyDescent="0.3">
      <c r="B36" s="69"/>
      <c r="C36" s="69"/>
      <c r="D36" s="70"/>
      <c r="F36" s="71"/>
    </row>
    <row r="37" spans="2:11" ht="20.25" customHeight="1" x14ac:dyDescent="0.3">
      <c r="C37" s="486" t="s">
        <v>163</v>
      </c>
      <c r="D37" s="486"/>
      <c r="E37" s="486"/>
      <c r="F37" s="487"/>
      <c r="G37" s="101">
        <f>ROUND(G29+G35,0)</f>
        <v>155174599</v>
      </c>
    </row>
    <row r="38" spans="2:11" ht="6.75" customHeight="1" x14ac:dyDescent="0.3"/>
    <row r="39" spans="2:11" s="108" customFormat="1" ht="15" customHeight="1" x14ac:dyDescent="0.3">
      <c r="B39" s="488" t="s">
        <v>113</v>
      </c>
      <c r="C39" s="489"/>
      <c r="D39" s="102"/>
      <c r="E39" s="103"/>
      <c r="F39" s="104"/>
      <c r="G39" s="105"/>
      <c r="H39" s="106"/>
      <c r="I39" s="2"/>
      <c r="J39" s="106"/>
      <c r="K39" s="107"/>
    </row>
    <row r="40" spans="2:11" s="108" customFormat="1" ht="31.5" customHeight="1" x14ac:dyDescent="0.3">
      <c r="B40" s="490" t="s">
        <v>213</v>
      </c>
      <c r="C40" s="491"/>
      <c r="D40" s="491"/>
      <c r="E40" s="491"/>
      <c r="F40" s="491"/>
      <c r="G40" s="492"/>
      <c r="H40" s="106"/>
      <c r="I40" s="2"/>
      <c r="J40" s="106"/>
      <c r="K40" s="107"/>
    </row>
    <row r="41" spans="2:11" s="110" customFormat="1" ht="48" customHeight="1" x14ac:dyDescent="0.3">
      <c r="B41" s="493" t="s">
        <v>164</v>
      </c>
      <c r="C41" s="494"/>
      <c r="D41" s="494"/>
      <c r="E41" s="494"/>
      <c r="F41" s="494"/>
      <c r="G41" s="495"/>
      <c r="H41" s="109"/>
      <c r="I41" s="109"/>
      <c r="J41" s="109"/>
    </row>
    <row r="42" spans="2:11" s="109" customFormat="1" ht="36.75" customHeight="1" x14ac:dyDescent="0.3">
      <c r="B42" s="471" t="s">
        <v>165</v>
      </c>
      <c r="C42" s="472"/>
      <c r="D42" s="472"/>
      <c r="E42" s="472"/>
      <c r="F42" s="472"/>
      <c r="G42" s="473"/>
    </row>
    <row r="43" spans="2:11" s="109" customFormat="1" ht="40.5" customHeight="1" x14ac:dyDescent="0.3">
      <c r="B43" s="474" t="s">
        <v>166</v>
      </c>
      <c r="C43" s="475"/>
      <c r="D43" s="475"/>
      <c r="E43" s="475"/>
      <c r="F43" s="475"/>
      <c r="G43" s="476"/>
    </row>
    <row r="44" spans="2:11" s="109" customFormat="1" ht="28.5" customHeight="1" x14ac:dyDescent="0.3">
      <c r="B44" s="477" t="s">
        <v>167</v>
      </c>
      <c r="C44" s="478"/>
      <c r="D44" s="478"/>
      <c r="E44" s="478"/>
      <c r="F44" s="478"/>
      <c r="G44" s="479"/>
    </row>
    <row r="45" spans="2:11" s="109" customFormat="1" ht="27" customHeight="1" x14ac:dyDescent="0.3">
      <c r="B45" s="480" t="s">
        <v>168</v>
      </c>
      <c r="C45" s="481"/>
      <c r="D45" s="481"/>
      <c r="E45" s="481"/>
      <c r="F45" s="481"/>
      <c r="G45" s="482"/>
    </row>
    <row r="52" spans="2:8" x14ac:dyDescent="0.25">
      <c r="B52" s="111" t="s">
        <v>175</v>
      </c>
      <c r="C52" s="54"/>
      <c r="D52" s="106"/>
      <c r="E52" s="112" t="s">
        <v>176</v>
      </c>
      <c r="F52" s="54"/>
      <c r="G52" s="106"/>
      <c r="H52" s="106"/>
    </row>
    <row r="53" spans="2:8" x14ac:dyDescent="0.25">
      <c r="B53" s="113" t="s">
        <v>134</v>
      </c>
      <c r="C53" s="113"/>
      <c r="D53" s="106"/>
      <c r="E53" s="114" t="s">
        <v>136</v>
      </c>
      <c r="F53" s="54"/>
      <c r="G53" s="106"/>
      <c r="H53" s="106"/>
    </row>
    <row r="54" spans="2:8" x14ac:dyDescent="0.25">
      <c r="B54" s="54" t="s">
        <v>139</v>
      </c>
      <c r="C54" s="111"/>
      <c r="D54" s="106"/>
      <c r="E54" s="115" t="s">
        <v>177</v>
      </c>
      <c r="F54" s="54"/>
      <c r="G54" s="106"/>
      <c r="H54" s="106"/>
    </row>
    <row r="55" spans="2:8" x14ac:dyDescent="0.25">
      <c r="B55" s="111" t="s">
        <v>140</v>
      </c>
      <c r="C55" s="54"/>
      <c r="D55" s="106"/>
      <c r="E55" s="112" t="s">
        <v>170</v>
      </c>
      <c r="F55" s="54"/>
      <c r="G55" s="106"/>
      <c r="H55" s="106"/>
    </row>
    <row r="56" spans="2:8" x14ac:dyDescent="0.25">
      <c r="C56" s="111" t="s">
        <v>178</v>
      </c>
    </row>
  </sheetData>
  <mergeCells count="16">
    <mergeCell ref="B31:G31"/>
    <mergeCell ref="B2:G2"/>
    <mergeCell ref="B4:G4"/>
    <mergeCell ref="B6:G6"/>
    <mergeCell ref="B10:G10"/>
    <mergeCell ref="E29:F29"/>
    <mergeCell ref="B42:G42"/>
    <mergeCell ref="B43:G43"/>
    <mergeCell ref="B44:G44"/>
    <mergeCell ref="B45:G45"/>
    <mergeCell ref="D34:E34"/>
    <mergeCell ref="E35:F35"/>
    <mergeCell ref="C37:F37"/>
    <mergeCell ref="B39:C39"/>
    <mergeCell ref="B40:G40"/>
    <mergeCell ref="B41:G41"/>
  </mergeCells>
  <pageMargins left="0.23622047244094491" right="0.23622047244094491" top="0.74803149606299213" bottom="0.74803149606299213" header="0.31496062992125984" footer="0.31496062992125984"/>
  <pageSetup scale="94" orientation="portrait" horizontalDpi="0" verticalDpi="0" r:id="rId1"/>
  <rowBreaks count="1" manualBreakCount="1">
    <brk id="37" min="1" max="6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2"/>
  <sheetViews>
    <sheetView topLeftCell="C1" workbookViewId="0">
      <selection activeCell="C15" sqref="C15"/>
    </sheetView>
  </sheetViews>
  <sheetFormatPr baseColWidth="10" defaultRowHeight="14.4" x14ac:dyDescent="0.3"/>
  <cols>
    <col min="1" max="1" width="2.33203125" customWidth="1"/>
    <col min="3" max="3" width="59.88671875" customWidth="1"/>
    <col min="5" max="5" width="9.109375" customWidth="1"/>
    <col min="6" max="6" width="7.5546875" customWidth="1"/>
    <col min="7" max="7" width="18.88671875" customWidth="1"/>
  </cols>
  <sheetData>
    <row r="1" spans="2:10" s="2" customFormat="1" ht="13.8" x14ac:dyDescent="0.3">
      <c r="D1" s="27"/>
      <c r="E1" s="27"/>
      <c r="F1" s="92"/>
      <c r="G1" s="92"/>
    </row>
    <row r="2" spans="2:10" s="2" customFormat="1" ht="31.5" customHeight="1" x14ac:dyDescent="0.3">
      <c r="B2" s="509" t="s">
        <v>92</v>
      </c>
      <c r="C2" s="510"/>
      <c r="D2" s="510"/>
      <c r="E2" s="510"/>
      <c r="F2" s="510"/>
      <c r="G2" s="511"/>
    </row>
    <row r="3" spans="2:10" s="2" customFormat="1" ht="15.6" x14ac:dyDescent="0.3">
      <c r="B3" s="64"/>
      <c r="C3" s="65"/>
      <c r="D3" s="65"/>
      <c r="E3" s="66"/>
      <c r="F3" s="65"/>
      <c r="G3" s="67"/>
    </row>
    <row r="4" spans="2:10" s="2" customFormat="1" ht="15.6" x14ac:dyDescent="0.3">
      <c r="B4" s="512" t="s">
        <v>214</v>
      </c>
      <c r="C4" s="513"/>
      <c r="D4" s="513"/>
      <c r="E4" s="513"/>
      <c r="F4" s="513"/>
      <c r="G4" s="514"/>
    </row>
    <row r="5" spans="2:10" s="2" customFormat="1" ht="13.8" x14ac:dyDescent="0.3">
      <c r="B5" s="68"/>
      <c r="C5" s="69"/>
      <c r="D5" s="70"/>
      <c r="E5" s="27"/>
      <c r="F5" s="71"/>
      <c r="G5" s="72"/>
    </row>
    <row r="6" spans="2:10" s="2" customFormat="1" ht="15.6" x14ac:dyDescent="0.3">
      <c r="B6" s="512"/>
      <c r="C6" s="513"/>
      <c r="D6" s="513"/>
      <c r="E6" s="513"/>
      <c r="F6" s="513"/>
      <c r="G6" s="514"/>
    </row>
    <row r="7" spans="2:10" s="2" customFormat="1" x14ac:dyDescent="0.3">
      <c r="B7" s="73"/>
      <c r="C7" s="74"/>
      <c r="D7" s="74"/>
      <c r="E7" s="75"/>
      <c r="F7" s="76" t="s">
        <v>157</v>
      </c>
      <c r="G7" s="289">
        <f ca="1">TODAY()</f>
        <v>45146</v>
      </c>
    </row>
    <row r="9" spans="2:10" x14ac:dyDescent="0.3">
      <c r="B9" s="288" t="s">
        <v>130</v>
      </c>
      <c r="C9" s="515" t="s">
        <v>14</v>
      </c>
      <c r="D9" s="515"/>
      <c r="E9" s="515"/>
      <c r="F9" s="515"/>
      <c r="G9" s="288" t="s">
        <v>240</v>
      </c>
      <c r="H9" s="287"/>
      <c r="I9" s="287"/>
      <c r="J9" s="287"/>
    </row>
    <row r="10" spans="2:10" x14ac:dyDescent="0.3">
      <c r="B10" s="290" t="s">
        <v>241</v>
      </c>
      <c r="C10" s="507" t="s">
        <v>446</v>
      </c>
      <c r="D10" s="507"/>
      <c r="E10" s="507"/>
      <c r="F10" s="507"/>
      <c r="G10" s="291">
        <f>'Presupuesto Final Veredas'!G30</f>
        <v>275211791</v>
      </c>
    </row>
    <row r="11" spans="2:10" x14ac:dyDescent="0.3">
      <c r="B11" s="290" t="s">
        <v>242</v>
      </c>
      <c r="C11" s="507" t="s">
        <v>447</v>
      </c>
      <c r="D11" s="507"/>
      <c r="E11" s="507"/>
      <c r="F11" s="507"/>
      <c r="G11" s="291"/>
    </row>
    <row r="12" spans="2:10" x14ac:dyDescent="0.3">
      <c r="B12" s="508" t="s">
        <v>243</v>
      </c>
      <c r="C12" s="508"/>
      <c r="D12" s="508"/>
      <c r="E12" s="508"/>
      <c r="F12" s="508"/>
      <c r="G12" s="292">
        <f>SUM(G10:G11)</f>
        <v>275211791</v>
      </c>
    </row>
  </sheetData>
  <mergeCells count="7">
    <mergeCell ref="C11:F11"/>
    <mergeCell ref="B12:F12"/>
    <mergeCell ref="B2:G2"/>
    <mergeCell ref="B4:G4"/>
    <mergeCell ref="B6:G6"/>
    <mergeCell ref="C9:F9"/>
    <mergeCell ref="C10:F1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L49"/>
  <sheetViews>
    <sheetView tabSelected="1" view="pageBreakPreview" topLeftCell="A16" zoomScaleNormal="88" zoomScaleSheetLayoutView="100" workbookViewId="0">
      <selection activeCell="J32" sqref="J32"/>
    </sheetView>
  </sheetViews>
  <sheetFormatPr baseColWidth="10" defaultColWidth="10.88671875" defaultRowHeight="13.8" x14ac:dyDescent="0.3"/>
  <cols>
    <col min="1" max="1" width="2.44140625" style="412" customWidth="1"/>
    <col min="2" max="2" width="7.44140625" style="412" customWidth="1"/>
    <col min="3" max="3" width="62.33203125" style="412" customWidth="1"/>
    <col min="4" max="4" width="5.44140625" style="418" customWidth="1"/>
    <col min="5" max="5" width="9.44140625" style="418" customWidth="1"/>
    <col min="6" max="6" width="13.109375" style="441" bestFit="1" customWidth="1"/>
    <col min="7" max="7" width="20.33203125" style="441" bestFit="1" customWidth="1"/>
    <col min="8" max="8" width="3.109375" style="412" customWidth="1"/>
    <col min="9" max="9" width="15.88671875" style="412" bestFit="1" customWidth="1"/>
    <col min="10" max="10" width="26.33203125" style="413" customWidth="1"/>
    <col min="11" max="16384" width="10.88671875" style="412"/>
  </cols>
  <sheetData>
    <row r="2" spans="2:10" ht="31.5" customHeight="1" x14ac:dyDescent="0.3">
      <c r="B2" s="509" t="s">
        <v>440</v>
      </c>
      <c r="C2" s="510"/>
      <c r="D2" s="510"/>
      <c r="E2" s="510"/>
      <c r="F2" s="510"/>
      <c r="G2" s="511"/>
    </row>
    <row r="3" spans="2:10" ht="15.6" x14ac:dyDescent="0.3">
      <c r="B3" s="408"/>
      <c r="C3" s="409"/>
      <c r="D3" s="409"/>
      <c r="E3" s="414"/>
      <c r="F3" s="409"/>
      <c r="G3" s="410"/>
    </row>
    <row r="4" spans="2:10" ht="15.6" x14ac:dyDescent="0.3">
      <c r="B4" s="512" t="s">
        <v>441</v>
      </c>
      <c r="C4" s="513"/>
      <c r="D4" s="513"/>
      <c r="E4" s="513"/>
      <c r="F4" s="513"/>
      <c r="G4" s="514"/>
    </row>
    <row r="5" spans="2:10" x14ac:dyDescent="0.3">
      <c r="B5" s="415"/>
      <c r="C5" s="416"/>
      <c r="D5" s="417"/>
      <c r="F5" s="419"/>
      <c r="G5" s="420"/>
    </row>
    <row r="6" spans="2:10" ht="15.6" x14ac:dyDescent="0.3">
      <c r="B6" s="512" t="s">
        <v>156</v>
      </c>
      <c r="C6" s="513"/>
      <c r="D6" s="513"/>
      <c r="E6" s="513"/>
      <c r="F6" s="513"/>
      <c r="G6" s="514"/>
    </row>
    <row r="7" spans="2:10" x14ac:dyDescent="0.3">
      <c r="B7" s="421"/>
      <c r="C7" s="422"/>
      <c r="D7" s="422"/>
      <c r="E7" s="423"/>
      <c r="F7" s="424" t="s">
        <v>157</v>
      </c>
      <c r="G7" s="289">
        <v>45146</v>
      </c>
    </row>
    <row r="8" spans="2:10" x14ac:dyDescent="0.3">
      <c r="D8" s="412"/>
      <c r="E8" s="412"/>
      <c r="F8" s="412"/>
      <c r="G8" s="412"/>
    </row>
    <row r="9" spans="2:10" ht="27.6" x14ac:dyDescent="0.3">
      <c r="B9" s="411" t="s">
        <v>130</v>
      </c>
      <c r="C9" s="411" t="s">
        <v>14</v>
      </c>
      <c r="D9" s="411" t="s">
        <v>158</v>
      </c>
      <c r="E9" s="411" t="s">
        <v>4</v>
      </c>
      <c r="F9" s="411" t="s">
        <v>159</v>
      </c>
      <c r="G9" s="411" t="s">
        <v>160</v>
      </c>
    </row>
    <row r="10" spans="2:10" x14ac:dyDescent="0.3">
      <c r="B10" s="542" t="s">
        <v>161</v>
      </c>
      <c r="C10" s="543"/>
      <c r="D10" s="543"/>
      <c r="E10" s="543"/>
      <c r="F10" s="543"/>
      <c r="G10" s="544"/>
    </row>
    <row r="11" spans="2:10" x14ac:dyDescent="0.3">
      <c r="B11" s="425" t="str">
        <f>+'Item de Pago'!B10</f>
        <v>1</v>
      </c>
      <c r="C11" s="426" t="str">
        <f>+'Item de Pago'!C10</f>
        <v>CONSTRUCCIÓN DE PLACAS HUELLAS</v>
      </c>
      <c r="D11" s="427"/>
      <c r="E11" s="427"/>
      <c r="F11" s="428"/>
      <c r="G11" s="429">
        <f>SUM(G12:G20)</f>
        <v>203860586</v>
      </c>
    </row>
    <row r="12" spans="2:10" ht="19.8" customHeight="1" x14ac:dyDescent="0.3">
      <c r="B12" s="430">
        <f>+'Item de Pago'!B11</f>
        <v>1.1000000000000001</v>
      </c>
      <c r="C12" s="431" t="str">
        <f>IF($B12=0,"",VLOOKUP($B12,'Item de Pago'!B2:F37,2,FALSE))</f>
        <v>LOCALIZACIÓN Y REPLANTEO</v>
      </c>
      <c r="D12" s="432" t="s">
        <v>51</v>
      </c>
      <c r="E12" s="433">
        <f>+'Memorias Cantidades Veredas'!J47</f>
        <v>183</v>
      </c>
      <c r="F12" s="434">
        <f>'A.P.U. OBRA'!I11</f>
        <v>4121</v>
      </c>
      <c r="G12" s="435">
        <f>ROUND(E12*F12,0)</f>
        <v>754143</v>
      </c>
      <c r="H12" s="436"/>
      <c r="I12" s="437"/>
      <c r="J12" s="437"/>
    </row>
    <row r="13" spans="2:10" ht="19.8" customHeight="1" x14ac:dyDescent="0.3">
      <c r="B13" s="430">
        <f>+'Item de Pago'!B12</f>
        <v>1.2</v>
      </c>
      <c r="C13" s="431" t="str">
        <f>IF($B13=0,"",VLOOKUP($B13,'Item de Pago'!B3:F38,2,FALSE))</f>
        <v>EXCAVACIÓN MANUAL PARA ESTRUCTURAS - MATERIAL COMÚN - 0.0 A 2.0 M</v>
      </c>
      <c r="D13" s="434" t="str">
        <f>IF($B13=0,"",VLOOKUP($B13,'Item de Pago'!B3:F39,4,FALSE))</f>
        <v>M3</v>
      </c>
      <c r="E13" s="433">
        <f>+'Memorias Cantidades Veredas'!J59</f>
        <v>313</v>
      </c>
      <c r="F13" s="434">
        <f>+'A.P.U. OBRA'!I18</f>
        <v>35590</v>
      </c>
      <c r="G13" s="435">
        <f t="shared" ref="G13:G20" si="0">ROUND(E13*F13,0)</f>
        <v>11139670</v>
      </c>
      <c r="H13" s="436"/>
      <c r="I13" s="437"/>
      <c r="J13" s="437"/>
    </row>
    <row r="14" spans="2:10" ht="19.8" customHeight="1" x14ac:dyDescent="0.3">
      <c r="B14" s="430">
        <f>+'Item de Pago'!B13</f>
        <v>1.3</v>
      </c>
      <c r="C14" s="431" t="str">
        <f>IF($B14=0,"",VLOOKUP($B14,'Item de Pago'!B4:F39,2,FALSE))</f>
        <v>RETIRO DE MATERIAL SOBRANTE EN VOLQUETA, CARGUE MANUAL</v>
      </c>
      <c r="D14" s="434" t="str">
        <f>IF($B14=0,"",VLOOKUP($B14,'Item de Pago'!B4:F40,4,FALSE))</f>
        <v>M3</v>
      </c>
      <c r="E14" s="433">
        <f>+'Memorias Cantidades Veredas'!J71</f>
        <v>313</v>
      </c>
      <c r="F14" s="434">
        <f>+'A.P.U. OBRA'!I23</f>
        <v>42618</v>
      </c>
      <c r="G14" s="435">
        <f t="shared" si="0"/>
        <v>13339434</v>
      </c>
      <c r="H14" s="436"/>
      <c r="I14" s="437"/>
      <c r="J14" s="437"/>
    </row>
    <row r="15" spans="2:10" ht="19.8" customHeight="1" x14ac:dyDescent="0.3">
      <c r="B15" s="430">
        <f>+'Item de Pago'!B14</f>
        <v>1.4</v>
      </c>
      <c r="C15" s="431" t="str">
        <f>IF($B15=0,"",VLOOKUP($B15,'Item de Pago'!B5:F40,2,FALSE))</f>
        <v>CONFORMACIÓN DE LA SUBRASANTE</v>
      </c>
      <c r="D15" s="434" t="str">
        <f>IF($B15=0,"",VLOOKUP($B15,'Item de Pago'!B5:F41,4,FALSE))</f>
        <v>M2</v>
      </c>
      <c r="E15" s="433">
        <f>+'Memorias Cantidades Veredas'!J83</f>
        <v>897</v>
      </c>
      <c r="F15" s="432">
        <v>4600</v>
      </c>
      <c r="G15" s="435">
        <f t="shared" si="0"/>
        <v>4126200</v>
      </c>
      <c r="H15" s="436"/>
      <c r="I15" s="437"/>
      <c r="J15" s="437"/>
    </row>
    <row r="16" spans="2:10" ht="19.8" customHeight="1" x14ac:dyDescent="0.3">
      <c r="B16" s="430">
        <f>+'Item de Pago'!B15</f>
        <v>1.5</v>
      </c>
      <c r="C16" s="431" t="str">
        <f>IF($B16=0,"",VLOOKUP($B16,'Item de Pago'!B6:F41,2,FALSE))</f>
        <v>AFIRMADO COMPACTADO PARA ESTRUCTURAS</v>
      </c>
      <c r="D16" s="434" t="str">
        <f>IF($B16=0,"",VLOOKUP($B16,'Item de Pago'!B6:F42,4,FALSE))</f>
        <v>M3</v>
      </c>
      <c r="E16" s="433">
        <f>+'Memorias Cantidades Veredas'!J95</f>
        <v>179</v>
      </c>
      <c r="F16" s="434">
        <f>+'A.P.U. OBRA'!I36</f>
        <v>154636</v>
      </c>
      <c r="G16" s="435">
        <f t="shared" si="0"/>
        <v>27679844</v>
      </c>
      <c r="H16" s="436"/>
      <c r="I16" s="437"/>
      <c r="J16" s="437"/>
    </row>
    <row r="17" spans="2:12" ht="27.6" customHeight="1" x14ac:dyDescent="0.3">
      <c r="B17" s="430">
        <f>+'Item de Pago'!B16</f>
        <v>1.6</v>
      </c>
      <c r="C17" s="431" t="str">
        <f>IF($B17=0,"",VLOOKUP($B17,'Item de Pago'!B7:F42,2,FALSE))</f>
        <v>CONCRETO DE 210 KG/CM² (3.000 PSI), ESPESOR 0,15 M - PLACAS HUELLAS Y VIGAS RIOSTRAS</v>
      </c>
      <c r="D17" s="434" t="str">
        <f>IF($B17=0,"",VLOOKUP($B17,'Item de Pago'!B7:F43,4,FALSE))</f>
        <v>M3</v>
      </c>
      <c r="E17" s="433">
        <f>+'Memorias Cantidades Veredas'!J104</f>
        <v>60</v>
      </c>
      <c r="F17" s="434">
        <f>+'A.P.U. OBRA'!I44</f>
        <v>935166</v>
      </c>
      <c r="G17" s="435">
        <f t="shared" si="0"/>
        <v>56109960</v>
      </c>
      <c r="H17" s="436"/>
      <c r="I17" s="437"/>
      <c r="J17" s="437"/>
    </row>
    <row r="18" spans="2:12" ht="27.6" customHeight="1" x14ac:dyDescent="0.3">
      <c r="B18" s="430">
        <f>+'Item de Pago'!B17</f>
        <v>1.7</v>
      </c>
      <c r="C18" s="431" t="str">
        <f>IF($B18=0,"",VLOOKUP($B18,'Item de Pago'!B8:F43,2,FALSE))</f>
        <v>CONCRETO CICLÓPEO ESPESOR 0,15 M (60% CONCRETO 3000 PSI Y 40% PIEDRA DE MANO)</v>
      </c>
      <c r="D18" s="434" t="str">
        <f>IF($B18=0,"",VLOOKUP($B18,'Item de Pago'!B8:F44,4,FALSE))</f>
        <v>M3</v>
      </c>
      <c r="E18" s="433">
        <f>+'Memorias Cantidades Veredas'!J112</f>
        <v>23</v>
      </c>
      <c r="F18" s="434">
        <f>+'A.P.U. OBRA'!I55</f>
        <v>524971</v>
      </c>
      <c r="G18" s="435">
        <f t="shared" si="0"/>
        <v>12074333</v>
      </c>
      <c r="H18" s="436"/>
      <c r="I18" s="437"/>
      <c r="J18" s="437"/>
    </row>
    <row r="19" spans="2:12" ht="27.6" customHeight="1" x14ac:dyDescent="0.3">
      <c r="B19" s="430">
        <f>+'Item de Pago'!B18</f>
        <v>1.8</v>
      </c>
      <c r="C19" s="431" t="str">
        <f>IF($B19=0,"",VLOOKUP($B19,'Item de Pago'!B9:F44,2,FALSE))</f>
        <v>ACERO DE REFUERZO 4.200 KG/CM²  (60.000 PSI) PARA PLACAS Y RIOSTRAS. (INCLUYE ALAMBRE NEGRO Y FIGURACION)</v>
      </c>
      <c r="D19" s="434" t="str">
        <f>IF($B19=0,"",VLOOKUP($B19,'Item de Pago'!B9:F45,4,FALSE))</f>
        <v>KG</v>
      </c>
      <c r="E19" s="438">
        <f>+'Memorias Cantidades Veredas'!J129</f>
        <v>4535.29</v>
      </c>
      <c r="F19" s="434">
        <f>+'A.P.U. OBRA'!I64</f>
        <v>8459</v>
      </c>
      <c r="G19" s="435">
        <f t="shared" si="0"/>
        <v>38364018</v>
      </c>
      <c r="H19" s="436"/>
      <c r="I19" s="437"/>
      <c r="J19" s="437"/>
    </row>
    <row r="20" spans="2:12" ht="27.6" customHeight="1" x14ac:dyDescent="0.3">
      <c r="B20" s="430">
        <f>+'Item de Pago'!B19</f>
        <v>1.9</v>
      </c>
      <c r="C20" s="431" t="str">
        <f>IF($B20=0,"",VLOOKUP($B20,'Item de Pago'!B10:F45,2,FALSE))</f>
        <v>CUNETA Y BORDILLO PARA VÍA VEHICULAR CONCRETO CLASE II PRODUCIDO EN OBRA</v>
      </c>
      <c r="D20" s="434" t="str">
        <f>IF($B20=0,"",VLOOKUP($B20,'Item de Pago'!B10:F46,4,FALSE))</f>
        <v>M3</v>
      </c>
      <c r="E20" s="433">
        <f>+'Memorias Cantidades Veredas'!J138</f>
        <v>47</v>
      </c>
      <c r="F20" s="434">
        <f>+'A.P.U. OBRA'!I72</f>
        <v>856872</v>
      </c>
      <c r="G20" s="435">
        <f t="shared" si="0"/>
        <v>40272984</v>
      </c>
      <c r="H20" s="436"/>
      <c r="I20" s="437"/>
      <c r="J20" s="437"/>
    </row>
    <row r="21" spans="2:12" x14ac:dyDescent="0.3">
      <c r="D21" s="412"/>
      <c r="E21" s="412"/>
      <c r="F21" s="412"/>
      <c r="G21" s="412"/>
    </row>
    <row r="22" spans="2:12" ht="15" customHeight="1" x14ac:dyDescent="0.3">
      <c r="C22" s="439"/>
      <c r="D22" s="439"/>
      <c r="E22" s="530" t="s">
        <v>131</v>
      </c>
      <c r="F22" s="530"/>
      <c r="G22" s="440">
        <f>ROUND(SUM(G11:G21)/2,0)</f>
        <v>203860586</v>
      </c>
    </row>
    <row r="23" spans="2:12" ht="16.8" customHeight="1" x14ac:dyDescent="0.3"/>
    <row r="24" spans="2:12" ht="18.75" customHeight="1" x14ac:dyDescent="0.3">
      <c r="B24" s="541" t="s">
        <v>162</v>
      </c>
      <c r="C24" s="541"/>
      <c r="D24" s="541"/>
      <c r="E24" s="541"/>
      <c r="F24" s="508"/>
      <c r="G24" s="508"/>
    </row>
    <row r="25" spans="2:12" x14ac:dyDescent="0.3">
      <c r="B25" s="442"/>
      <c r="C25" s="443"/>
      <c r="D25" s="444"/>
      <c r="E25" s="445" t="s">
        <v>34</v>
      </c>
      <c r="F25" s="446">
        <v>0.3</v>
      </c>
      <c r="G25" s="447">
        <f>ROUND($G$22*F25,0)</f>
        <v>61158176</v>
      </c>
      <c r="J25" s="437"/>
    </row>
    <row r="26" spans="2:12" x14ac:dyDescent="0.3">
      <c r="B26" s="442"/>
      <c r="C26" s="443"/>
      <c r="D26" s="444"/>
      <c r="E26" s="445" t="s">
        <v>35</v>
      </c>
      <c r="F26" s="448">
        <v>0</v>
      </c>
      <c r="G26" s="447">
        <f>ROUND($G$22*F26,0)</f>
        <v>0</v>
      </c>
    </row>
    <row r="27" spans="2:12" ht="15" customHeight="1" x14ac:dyDescent="0.3">
      <c r="B27" s="442"/>
      <c r="C27" s="443"/>
      <c r="D27" s="528" t="s">
        <v>36</v>
      </c>
      <c r="E27" s="529"/>
      <c r="F27" s="448">
        <v>0.05</v>
      </c>
      <c r="G27" s="447">
        <f>ROUND($G$22*F27,0)</f>
        <v>10193029</v>
      </c>
    </row>
    <row r="28" spans="2:12" ht="15" customHeight="1" x14ac:dyDescent="0.3">
      <c r="C28" s="439"/>
      <c r="D28" s="439"/>
      <c r="E28" s="530" t="s">
        <v>132</v>
      </c>
      <c r="F28" s="530"/>
      <c r="G28" s="440">
        <f>ROUND(SUM(G25:G27),0)</f>
        <v>71351205</v>
      </c>
      <c r="I28" s="449"/>
    </row>
    <row r="29" spans="2:12" ht="6.75" customHeight="1" x14ac:dyDescent="0.3">
      <c r="B29" s="416"/>
      <c r="C29" s="416"/>
      <c r="D29" s="417"/>
      <c r="F29" s="419"/>
    </row>
    <row r="30" spans="2:12" ht="20.25" customHeight="1" x14ac:dyDescent="0.3">
      <c r="C30" s="531" t="s">
        <v>163</v>
      </c>
      <c r="D30" s="531"/>
      <c r="E30" s="531"/>
      <c r="F30" s="532"/>
      <c r="G30" s="450">
        <f>ROUND(G22+G28,0)</f>
        <v>275211791</v>
      </c>
      <c r="I30" s="449"/>
    </row>
    <row r="31" spans="2:12" ht="6.75" customHeight="1" x14ac:dyDescent="0.3"/>
    <row r="32" spans="2:12" s="459" customFormat="1" ht="15" customHeight="1" x14ac:dyDescent="0.3">
      <c r="B32" s="533" t="s">
        <v>113</v>
      </c>
      <c r="C32" s="534"/>
      <c r="D32" s="451"/>
      <c r="E32" s="452"/>
      <c r="F32" s="453"/>
      <c r="G32" s="454"/>
      <c r="H32" s="455"/>
      <c r="I32" s="412"/>
      <c r="J32" s="456"/>
      <c r="K32" s="457"/>
      <c r="L32" s="458"/>
    </row>
    <row r="33" spans="2:11" s="459" customFormat="1" ht="31.5" customHeight="1" x14ac:dyDescent="0.3">
      <c r="B33" s="535" t="s">
        <v>448</v>
      </c>
      <c r="C33" s="536"/>
      <c r="D33" s="536"/>
      <c r="E33" s="536"/>
      <c r="F33" s="536"/>
      <c r="G33" s="537"/>
      <c r="H33" s="455"/>
      <c r="I33" s="412"/>
      <c r="J33" s="460"/>
      <c r="K33" s="457"/>
    </row>
    <row r="34" spans="2:11" s="463" customFormat="1" ht="36" customHeight="1" x14ac:dyDescent="0.3">
      <c r="B34" s="538" t="s">
        <v>442</v>
      </c>
      <c r="C34" s="539"/>
      <c r="D34" s="539"/>
      <c r="E34" s="539"/>
      <c r="F34" s="539"/>
      <c r="G34" s="540"/>
      <c r="H34" s="461"/>
      <c r="I34" s="461"/>
      <c r="J34" s="462"/>
    </row>
    <row r="35" spans="2:11" s="461" customFormat="1" ht="36.75" customHeight="1" x14ac:dyDescent="0.3">
      <c r="B35" s="516" t="s">
        <v>443</v>
      </c>
      <c r="C35" s="517"/>
      <c r="D35" s="517"/>
      <c r="E35" s="517"/>
      <c r="F35" s="517"/>
      <c r="G35" s="518"/>
      <c r="J35" s="464"/>
    </row>
    <row r="36" spans="2:11" s="461" customFormat="1" ht="30.6" customHeight="1" x14ac:dyDescent="0.3">
      <c r="B36" s="519" t="s">
        <v>444</v>
      </c>
      <c r="C36" s="520"/>
      <c r="D36" s="520"/>
      <c r="E36" s="520"/>
      <c r="F36" s="520"/>
      <c r="G36" s="521"/>
      <c r="J36" s="464"/>
    </row>
    <row r="37" spans="2:11" s="461" customFormat="1" ht="21.6" customHeight="1" x14ac:dyDescent="0.3">
      <c r="B37" s="522" t="s">
        <v>445</v>
      </c>
      <c r="C37" s="523"/>
      <c r="D37" s="523"/>
      <c r="E37" s="523"/>
      <c r="F37" s="523"/>
      <c r="G37" s="524"/>
      <c r="J37" s="464"/>
    </row>
    <row r="38" spans="2:11" s="461" customFormat="1" ht="27" customHeight="1" x14ac:dyDescent="0.3">
      <c r="B38" s="525"/>
      <c r="C38" s="526"/>
      <c r="D38" s="526"/>
      <c r="E38" s="526"/>
      <c r="F38" s="526"/>
      <c r="G38" s="527"/>
      <c r="J38" s="464"/>
    </row>
    <row r="45" spans="2:11" x14ac:dyDescent="0.3">
      <c r="B45" s="465"/>
      <c r="C45" s="466"/>
      <c r="D45" s="455"/>
      <c r="E45" s="467"/>
      <c r="F45" s="466"/>
      <c r="G45" s="455"/>
      <c r="H45" s="455"/>
    </row>
    <row r="46" spans="2:11" x14ac:dyDescent="0.3">
      <c r="B46" s="468"/>
      <c r="C46" s="468"/>
      <c r="D46" s="455"/>
      <c r="E46" s="469"/>
      <c r="F46" s="466"/>
      <c r="G46" s="455"/>
      <c r="H46" s="455"/>
    </row>
    <row r="47" spans="2:11" x14ac:dyDescent="0.3">
      <c r="B47" s="466"/>
      <c r="C47" s="465"/>
      <c r="D47" s="455"/>
      <c r="E47" s="470"/>
      <c r="F47" s="466"/>
      <c r="G47" s="455"/>
      <c r="H47" s="455"/>
    </row>
    <row r="48" spans="2:11" x14ac:dyDescent="0.3">
      <c r="B48" s="465"/>
      <c r="C48" s="466"/>
      <c r="D48" s="455"/>
      <c r="E48" s="467"/>
      <c r="F48" s="466"/>
      <c r="G48" s="455"/>
      <c r="H48" s="455"/>
    </row>
    <row r="49" spans="3:3" x14ac:dyDescent="0.3">
      <c r="C49" s="465"/>
    </row>
  </sheetData>
  <mergeCells count="16">
    <mergeCell ref="B24:G24"/>
    <mergeCell ref="B2:G2"/>
    <mergeCell ref="B4:G4"/>
    <mergeCell ref="B6:G6"/>
    <mergeCell ref="B10:G10"/>
    <mergeCell ref="E22:F22"/>
    <mergeCell ref="B35:G35"/>
    <mergeCell ref="B36:G36"/>
    <mergeCell ref="B37:G37"/>
    <mergeCell ref="B38:G38"/>
    <mergeCell ref="D27:E27"/>
    <mergeCell ref="E28:F28"/>
    <mergeCell ref="C30:F30"/>
    <mergeCell ref="B32:C32"/>
    <mergeCell ref="B33:G33"/>
    <mergeCell ref="B34:G34"/>
  </mergeCells>
  <pageMargins left="0.23622047244094491" right="0.23622047244094491" top="0.74803149606299213" bottom="0.74803149606299213" header="0.31496062992125984" footer="0.31496062992125984"/>
  <pageSetup scale="85" orientation="portrait" r:id="rId1"/>
  <rowBreaks count="1" manualBreakCount="1">
    <brk id="38" min="1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C371"/>
  <sheetViews>
    <sheetView topLeftCell="A22" workbookViewId="0">
      <selection activeCell="B4" sqref="B4:J4"/>
    </sheetView>
  </sheetViews>
  <sheetFormatPr baseColWidth="10" defaultRowHeight="14.4" x14ac:dyDescent="0.3"/>
  <cols>
    <col min="1" max="1" width="3.109375" style="2" customWidth="1"/>
    <col min="2" max="2" width="19.33203125" style="2" customWidth="1"/>
    <col min="3" max="3" width="11.109375" style="2" bestFit="1" customWidth="1"/>
    <col min="4" max="5" width="11" style="28" bestFit="1" customWidth="1"/>
    <col min="6" max="6" width="11" style="27" bestFit="1" customWidth="1"/>
    <col min="7" max="7" width="8.109375" style="2" bestFit="1" customWidth="1"/>
    <col min="8" max="8" width="9.33203125" style="2" customWidth="1"/>
    <col min="9" max="9" width="10" style="2" bestFit="1" customWidth="1"/>
    <col min="10" max="10" width="12.88671875" style="2" customWidth="1"/>
    <col min="11" max="11" width="6.109375" style="2" bestFit="1" customWidth="1"/>
    <col min="12" max="12" width="8.44140625" style="2" bestFit="1" customWidth="1"/>
    <col min="13" max="13" width="12.6640625" style="2" customWidth="1"/>
    <col min="14" max="14" width="27.44140625" style="2" customWidth="1"/>
    <col min="15" max="15" width="26.33203125" style="2" customWidth="1"/>
    <col min="16" max="16" width="24.88671875" style="2" customWidth="1"/>
    <col min="17" max="17" width="19.44140625" style="2" customWidth="1"/>
    <col min="18" max="18" width="17.109375" style="2" customWidth="1"/>
    <col min="19" max="19" width="16.6640625" style="2" customWidth="1"/>
    <col min="20" max="20" width="11.44140625" style="1"/>
    <col min="21" max="256" width="11.44140625" style="2"/>
    <col min="257" max="257" width="5.109375" style="2" customWidth="1"/>
    <col min="258" max="258" width="8.44140625" style="2" customWidth="1"/>
    <col min="259" max="259" width="11.44140625" style="2"/>
    <col min="260" max="260" width="54" style="2" customWidth="1"/>
    <col min="261" max="261" width="12.6640625" style="2" customWidth="1"/>
    <col min="262" max="262" width="12.33203125" style="2" bestFit="1" customWidth="1"/>
    <col min="263" max="263" width="8.6640625" style="2" bestFit="1" customWidth="1"/>
    <col min="264" max="264" width="9.44140625" style="2" bestFit="1" customWidth="1"/>
    <col min="265" max="265" width="11.44140625" style="2"/>
    <col min="266" max="266" width="8.6640625" style="2" bestFit="1" customWidth="1"/>
    <col min="267" max="267" width="13.33203125" style="2" customWidth="1"/>
    <col min="268" max="268" width="12.6640625" style="2" customWidth="1"/>
    <col min="269" max="269" width="17.6640625" style="2" customWidth="1"/>
    <col min="270" max="270" width="27.44140625" style="2" customWidth="1"/>
    <col min="271" max="271" width="26.33203125" style="2" customWidth="1"/>
    <col min="272" max="272" width="24.88671875" style="2" customWidth="1"/>
    <col min="273" max="273" width="19.44140625" style="2" customWidth="1"/>
    <col min="274" max="274" width="17.109375" style="2" customWidth="1"/>
    <col min="275" max="275" width="16.6640625" style="2" customWidth="1"/>
    <col min="276" max="512" width="11.44140625" style="2"/>
    <col min="513" max="513" width="5.109375" style="2" customWidth="1"/>
    <col min="514" max="514" width="8.44140625" style="2" customWidth="1"/>
    <col min="515" max="515" width="11.44140625" style="2"/>
    <col min="516" max="516" width="54" style="2" customWidth="1"/>
    <col min="517" max="517" width="12.6640625" style="2" customWidth="1"/>
    <col min="518" max="518" width="12.33203125" style="2" bestFit="1" customWidth="1"/>
    <col min="519" max="519" width="8.6640625" style="2" bestFit="1" customWidth="1"/>
    <col min="520" max="520" width="9.44140625" style="2" bestFit="1" customWidth="1"/>
    <col min="521" max="521" width="11.44140625" style="2"/>
    <col min="522" max="522" width="8.6640625" style="2" bestFit="1" customWidth="1"/>
    <col min="523" max="523" width="13.33203125" style="2" customWidth="1"/>
    <col min="524" max="524" width="12.6640625" style="2" customWidth="1"/>
    <col min="525" max="525" width="17.6640625" style="2" customWidth="1"/>
    <col min="526" max="526" width="27.44140625" style="2" customWidth="1"/>
    <col min="527" max="527" width="26.33203125" style="2" customWidth="1"/>
    <col min="528" max="528" width="24.88671875" style="2" customWidth="1"/>
    <col min="529" max="529" width="19.44140625" style="2" customWidth="1"/>
    <col min="530" max="530" width="17.109375" style="2" customWidth="1"/>
    <col min="531" max="531" width="16.6640625" style="2" customWidth="1"/>
    <col min="532" max="768" width="11.44140625" style="2"/>
    <col min="769" max="769" width="5.109375" style="2" customWidth="1"/>
    <col min="770" max="770" width="8.44140625" style="2" customWidth="1"/>
    <col min="771" max="771" width="11.44140625" style="2"/>
    <col min="772" max="772" width="54" style="2" customWidth="1"/>
    <col min="773" max="773" width="12.6640625" style="2" customWidth="1"/>
    <col min="774" max="774" width="12.33203125" style="2" bestFit="1" customWidth="1"/>
    <col min="775" max="775" width="8.6640625" style="2" bestFit="1" customWidth="1"/>
    <col min="776" max="776" width="9.44140625" style="2" bestFit="1" customWidth="1"/>
    <col min="777" max="777" width="11.44140625" style="2"/>
    <col min="778" max="778" width="8.6640625" style="2" bestFit="1" customWidth="1"/>
    <col min="779" max="779" width="13.33203125" style="2" customWidth="1"/>
    <col min="780" max="780" width="12.6640625" style="2" customWidth="1"/>
    <col min="781" max="781" width="17.6640625" style="2" customWidth="1"/>
    <col min="782" max="782" width="27.44140625" style="2" customWidth="1"/>
    <col min="783" max="783" width="26.33203125" style="2" customWidth="1"/>
    <col min="784" max="784" width="24.88671875" style="2" customWidth="1"/>
    <col min="785" max="785" width="19.44140625" style="2" customWidth="1"/>
    <col min="786" max="786" width="17.109375" style="2" customWidth="1"/>
    <col min="787" max="787" width="16.6640625" style="2" customWidth="1"/>
    <col min="788" max="1024" width="11.44140625" style="2"/>
    <col min="1025" max="1025" width="5.109375" style="2" customWidth="1"/>
    <col min="1026" max="1026" width="8.44140625" style="2" customWidth="1"/>
    <col min="1027" max="1027" width="11.44140625" style="2"/>
    <col min="1028" max="1028" width="54" style="2" customWidth="1"/>
    <col min="1029" max="1029" width="12.6640625" style="2" customWidth="1"/>
    <col min="1030" max="1030" width="12.33203125" style="2" bestFit="1" customWidth="1"/>
    <col min="1031" max="1031" width="8.6640625" style="2" bestFit="1" customWidth="1"/>
    <col min="1032" max="1032" width="9.44140625" style="2" bestFit="1" customWidth="1"/>
    <col min="1033" max="1033" width="11.44140625" style="2"/>
    <col min="1034" max="1034" width="8.6640625" style="2" bestFit="1" customWidth="1"/>
    <col min="1035" max="1035" width="13.33203125" style="2" customWidth="1"/>
    <col min="1036" max="1036" width="12.6640625" style="2" customWidth="1"/>
    <col min="1037" max="1037" width="17.6640625" style="2" customWidth="1"/>
    <col min="1038" max="1038" width="27.44140625" style="2" customWidth="1"/>
    <col min="1039" max="1039" width="26.33203125" style="2" customWidth="1"/>
    <col min="1040" max="1040" width="24.88671875" style="2" customWidth="1"/>
    <col min="1041" max="1041" width="19.44140625" style="2" customWidth="1"/>
    <col min="1042" max="1042" width="17.109375" style="2" customWidth="1"/>
    <col min="1043" max="1043" width="16.6640625" style="2" customWidth="1"/>
    <col min="1044" max="1280" width="11.44140625" style="2"/>
    <col min="1281" max="1281" width="5.109375" style="2" customWidth="1"/>
    <col min="1282" max="1282" width="8.44140625" style="2" customWidth="1"/>
    <col min="1283" max="1283" width="11.44140625" style="2"/>
    <col min="1284" max="1284" width="54" style="2" customWidth="1"/>
    <col min="1285" max="1285" width="12.6640625" style="2" customWidth="1"/>
    <col min="1286" max="1286" width="12.33203125" style="2" bestFit="1" customWidth="1"/>
    <col min="1287" max="1287" width="8.6640625" style="2" bestFit="1" customWidth="1"/>
    <col min="1288" max="1288" width="9.44140625" style="2" bestFit="1" customWidth="1"/>
    <col min="1289" max="1289" width="11.44140625" style="2"/>
    <col min="1290" max="1290" width="8.6640625" style="2" bestFit="1" customWidth="1"/>
    <col min="1291" max="1291" width="13.33203125" style="2" customWidth="1"/>
    <col min="1292" max="1292" width="12.6640625" style="2" customWidth="1"/>
    <col min="1293" max="1293" width="17.6640625" style="2" customWidth="1"/>
    <col min="1294" max="1294" width="27.44140625" style="2" customWidth="1"/>
    <col min="1295" max="1295" width="26.33203125" style="2" customWidth="1"/>
    <col min="1296" max="1296" width="24.88671875" style="2" customWidth="1"/>
    <col min="1297" max="1297" width="19.44140625" style="2" customWidth="1"/>
    <col min="1298" max="1298" width="17.109375" style="2" customWidth="1"/>
    <col min="1299" max="1299" width="16.6640625" style="2" customWidth="1"/>
    <col min="1300" max="1536" width="11.44140625" style="2"/>
    <col min="1537" max="1537" width="5.109375" style="2" customWidth="1"/>
    <col min="1538" max="1538" width="8.44140625" style="2" customWidth="1"/>
    <col min="1539" max="1539" width="11.44140625" style="2"/>
    <col min="1540" max="1540" width="54" style="2" customWidth="1"/>
    <col min="1541" max="1541" width="12.6640625" style="2" customWidth="1"/>
    <col min="1542" max="1542" width="12.33203125" style="2" bestFit="1" customWidth="1"/>
    <col min="1543" max="1543" width="8.6640625" style="2" bestFit="1" customWidth="1"/>
    <col min="1544" max="1544" width="9.44140625" style="2" bestFit="1" customWidth="1"/>
    <col min="1545" max="1545" width="11.44140625" style="2"/>
    <col min="1546" max="1546" width="8.6640625" style="2" bestFit="1" customWidth="1"/>
    <col min="1547" max="1547" width="13.33203125" style="2" customWidth="1"/>
    <col min="1548" max="1548" width="12.6640625" style="2" customWidth="1"/>
    <col min="1549" max="1549" width="17.6640625" style="2" customWidth="1"/>
    <col min="1550" max="1550" width="27.44140625" style="2" customWidth="1"/>
    <col min="1551" max="1551" width="26.33203125" style="2" customWidth="1"/>
    <col min="1552" max="1552" width="24.88671875" style="2" customWidth="1"/>
    <col min="1553" max="1553" width="19.44140625" style="2" customWidth="1"/>
    <col min="1554" max="1554" width="17.109375" style="2" customWidth="1"/>
    <col min="1555" max="1555" width="16.6640625" style="2" customWidth="1"/>
    <col min="1556" max="1792" width="11.44140625" style="2"/>
    <col min="1793" max="1793" width="5.109375" style="2" customWidth="1"/>
    <col min="1794" max="1794" width="8.44140625" style="2" customWidth="1"/>
    <col min="1795" max="1795" width="11.44140625" style="2"/>
    <col min="1796" max="1796" width="54" style="2" customWidth="1"/>
    <col min="1797" max="1797" width="12.6640625" style="2" customWidth="1"/>
    <col min="1798" max="1798" width="12.33203125" style="2" bestFit="1" customWidth="1"/>
    <col min="1799" max="1799" width="8.6640625" style="2" bestFit="1" customWidth="1"/>
    <col min="1800" max="1800" width="9.44140625" style="2" bestFit="1" customWidth="1"/>
    <col min="1801" max="1801" width="11.44140625" style="2"/>
    <col min="1802" max="1802" width="8.6640625" style="2" bestFit="1" customWidth="1"/>
    <col min="1803" max="1803" width="13.33203125" style="2" customWidth="1"/>
    <col min="1804" max="1804" width="12.6640625" style="2" customWidth="1"/>
    <col min="1805" max="1805" width="17.6640625" style="2" customWidth="1"/>
    <col min="1806" max="1806" width="27.44140625" style="2" customWidth="1"/>
    <col min="1807" max="1807" width="26.33203125" style="2" customWidth="1"/>
    <col min="1808" max="1808" width="24.88671875" style="2" customWidth="1"/>
    <col min="1809" max="1809" width="19.44140625" style="2" customWidth="1"/>
    <col min="1810" max="1810" width="17.109375" style="2" customWidth="1"/>
    <col min="1811" max="1811" width="16.6640625" style="2" customWidth="1"/>
    <col min="1812" max="2048" width="11.44140625" style="2"/>
    <col min="2049" max="2049" width="5.109375" style="2" customWidth="1"/>
    <col min="2050" max="2050" width="8.44140625" style="2" customWidth="1"/>
    <col min="2051" max="2051" width="11.44140625" style="2"/>
    <col min="2052" max="2052" width="54" style="2" customWidth="1"/>
    <col min="2053" max="2053" width="12.6640625" style="2" customWidth="1"/>
    <col min="2054" max="2054" width="12.33203125" style="2" bestFit="1" customWidth="1"/>
    <col min="2055" max="2055" width="8.6640625" style="2" bestFit="1" customWidth="1"/>
    <col min="2056" max="2056" width="9.44140625" style="2" bestFit="1" customWidth="1"/>
    <col min="2057" max="2057" width="11.44140625" style="2"/>
    <col min="2058" max="2058" width="8.6640625" style="2" bestFit="1" customWidth="1"/>
    <col min="2059" max="2059" width="13.33203125" style="2" customWidth="1"/>
    <col min="2060" max="2060" width="12.6640625" style="2" customWidth="1"/>
    <col min="2061" max="2061" width="17.6640625" style="2" customWidth="1"/>
    <col min="2062" max="2062" width="27.44140625" style="2" customWidth="1"/>
    <col min="2063" max="2063" width="26.33203125" style="2" customWidth="1"/>
    <col min="2064" max="2064" width="24.88671875" style="2" customWidth="1"/>
    <col min="2065" max="2065" width="19.44140625" style="2" customWidth="1"/>
    <col min="2066" max="2066" width="17.109375" style="2" customWidth="1"/>
    <col min="2067" max="2067" width="16.6640625" style="2" customWidth="1"/>
    <col min="2068" max="2304" width="11.44140625" style="2"/>
    <col min="2305" max="2305" width="5.109375" style="2" customWidth="1"/>
    <col min="2306" max="2306" width="8.44140625" style="2" customWidth="1"/>
    <col min="2307" max="2307" width="11.44140625" style="2"/>
    <col min="2308" max="2308" width="54" style="2" customWidth="1"/>
    <col min="2309" max="2309" width="12.6640625" style="2" customWidth="1"/>
    <col min="2310" max="2310" width="12.33203125" style="2" bestFit="1" customWidth="1"/>
    <col min="2311" max="2311" width="8.6640625" style="2" bestFit="1" customWidth="1"/>
    <col min="2312" max="2312" width="9.44140625" style="2" bestFit="1" customWidth="1"/>
    <col min="2313" max="2313" width="11.44140625" style="2"/>
    <col min="2314" max="2314" width="8.6640625" style="2" bestFit="1" customWidth="1"/>
    <col min="2315" max="2315" width="13.33203125" style="2" customWidth="1"/>
    <col min="2316" max="2316" width="12.6640625" style="2" customWidth="1"/>
    <col min="2317" max="2317" width="17.6640625" style="2" customWidth="1"/>
    <col min="2318" max="2318" width="27.44140625" style="2" customWidth="1"/>
    <col min="2319" max="2319" width="26.33203125" style="2" customWidth="1"/>
    <col min="2320" max="2320" width="24.88671875" style="2" customWidth="1"/>
    <col min="2321" max="2321" width="19.44140625" style="2" customWidth="1"/>
    <col min="2322" max="2322" width="17.109375" style="2" customWidth="1"/>
    <col min="2323" max="2323" width="16.6640625" style="2" customWidth="1"/>
    <col min="2324" max="2560" width="11.44140625" style="2"/>
    <col min="2561" max="2561" width="5.109375" style="2" customWidth="1"/>
    <col min="2562" max="2562" width="8.44140625" style="2" customWidth="1"/>
    <col min="2563" max="2563" width="11.44140625" style="2"/>
    <col min="2564" max="2564" width="54" style="2" customWidth="1"/>
    <col min="2565" max="2565" width="12.6640625" style="2" customWidth="1"/>
    <col min="2566" max="2566" width="12.33203125" style="2" bestFit="1" customWidth="1"/>
    <col min="2567" max="2567" width="8.6640625" style="2" bestFit="1" customWidth="1"/>
    <col min="2568" max="2568" width="9.44140625" style="2" bestFit="1" customWidth="1"/>
    <col min="2569" max="2569" width="11.44140625" style="2"/>
    <col min="2570" max="2570" width="8.6640625" style="2" bestFit="1" customWidth="1"/>
    <col min="2571" max="2571" width="13.33203125" style="2" customWidth="1"/>
    <col min="2572" max="2572" width="12.6640625" style="2" customWidth="1"/>
    <col min="2573" max="2573" width="17.6640625" style="2" customWidth="1"/>
    <col min="2574" max="2574" width="27.44140625" style="2" customWidth="1"/>
    <col min="2575" max="2575" width="26.33203125" style="2" customWidth="1"/>
    <col min="2576" max="2576" width="24.88671875" style="2" customWidth="1"/>
    <col min="2577" max="2577" width="19.44140625" style="2" customWidth="1"/>
    <col min="2578" max="2578" width="17.109375" style="2" customWidth="1"/>
    <col min="2579" max="2579" width="16.6640625" style="2" customWidth="1"/>
    <col min="2580" max="2816" width="11.44140625" style="2"/>
    <col min="2817" max="2817" width="5.109375" style="2" customWidth="1"/>
    <col min="2818" max="2818" width="8.44140625" style="2" customWidth="1"/>
    <col min="2819" max="2819" width="11.44140625" style="2"/>
    <col min="2820" max="2820" width="54" style="2" customWidth="1"/>
    <col min="2821" max="2821" width="12.6640625" style="2" customWidth="1"/>
    <col min="2822" max="2822" width="12.33203125" style="2" bestFit="1" customWidth="1"/>
    <col min="2823" max="2823" width="8.6640625" style="2" bestFit="1" customWidth="1"/>
    <col min="2824" max="2824" width="9.44140625" style="2" bestFit="1" customWidth="1"/>
    <col min="2825" max="2825" width="11.44140625" style="2"/>
    <col min="2826" max="2826" width="8.6640625" style="2" bestFit="1" customWidth="1"/>
    <col min="2827" max="2827" width="13.33203125" style="2" customWidth="1"/>
    <col min="2828" max="2828" width="12.6640625" style="2" customWidth="1"/>
    <col min="2829" max="2829" width="17.6640625" style="2" customWidth="1"/>
    <col min="2830" max="2830" width="27.44140625" style="2" customWidth="1"/>
    <col min="2831" max="2831" width="26.33203125" style="2" customWidth="1"/>
    <col min="2832" max="2832" width="24.88671875" style="2" customWidth="1"/>
    <col min="2833" max="2833" width="19.44140625" style="2" customWidth="1"/>
    <col min="2834" max="2834" width="17.109375" style="2" customWidth="1"/>
    <col min="2835" max="2835" width="16.6640625" style="2" customWidth="1"/>
    <col min="2836" max="3072" width="11.44140625" style="2"/>
    <col min="3073" max="3073" width="5.109375" style="2" customWidth="1"/>
    <col min="3074" max="3074" width="8.44140625" style="2" customWidth="1"/>
    <col min="3075" max="3075" width="11.44140625" style="2"/>
    <col min="3076" max="3076" width="54" style="2" customWidth="1"/>
    <col min="3077" max="3077" width="12.6640625" style="2" customWidth="1"/>
    <col min="3078" max="3078" width="12.33203125" style="2" bestFit="1" customWidth="1"/>
    <col min="3079" max="3079" width="8.6640625" style="2" bestFit="1" customWidth="1"/>
    <col min="3080" max="3080" width="9.44140625" style="2" bestFit="1" customWidth="1"/>
    <col min="3081" max="3081" width="11.44140625" style="2"/>
    <col min="3082" max="3082" width="8.6640625" style="2" bestFit="1" customWidth="1"/>
    <col min="3083" max="3083" width="13.33203125" style="2" customWidth="1"/>
    <col min="3084" max="3084" width="12.6640625" style="2" customWidth="1"/>
    <col min="3085" max="3085" width="17.6640625" style="2" customWidth="1"/>
    <col min="3086" max="3086" width="27.44140625" style="2" customWidth="1"/>
    <col min="3087" max="3087" width="26.33203125" style="2" customWidth="1"/>
    <col min="3088" max="3088" width="24.88671875" style="2" customWidth="1"/>
    <col min="3089" max="3089" width="19.44140625" style="2" customWidth="1"/>
    <col min="3090" max="3090" width="17.109375" style="2" customWidth="1"/>
    <col min="3091" max="3091" width="16.6640625" style="2" customWidth="1"/>
    <col min="3092" max="3328" width="11.44140625" style="2"/>
    <col min="3329" max="3329" width="5.109375" style="2" customWidth="1"/>
    <col min="3330" max="3330" width="8.44140625" style="2" customWidth="1"/>
    <col min="3331" max="3331" width="11.44140625" style="2"/>
    <col min="3332" max="3332" width="54" style="2" customWidth="1"/>
    <col min="3333" max="3333" width="12.6640625" style="2" customWidth="1"/>
    <col min="3334" max="3334" width="12.33203125" style="2" bestFit="1" customWidth="1"/>
    <col min="3335" max="3335" width="8.6640625" style="2" bestFit="1" customWidth="1"/>
    <col min="3336" max="3336" width="9.44140625" style="2" bestFit="1" customWidth="1"/>
    <col min="3337" max="3337" width="11.44140625" style="2"/>
    <col min="3338" max="3338" width="8.6640625" style="2" bestFit="1" customWidth="1"/>
    <col min="3339" max="3339" width="13.33203125" style="2" customWidth="1"/>
    <col min="3340" max="3340" width="12.6640625" style="2" customWidth="1"/>
    <col min="3341" max="3341" width="17.6640625" style="2" customWidth="1"/>
    <col min="3342" max="3342" width="27.44140625" style="2" customWidth="1"/>
    <col min="3343" max="3343" width="26.33203125" style="2" customWidth="1"/>
    <col min="3344" max="3344" width="24.88671875" style="2" customWidth="1"/>
    <col min="3345" max="3345" width="19.44140625" style="2" customWidth="1"/>
    <col min="3346" max="3346" width="17.109375" style="2" customWidth="1"/>
    <col min="3347" max="3347" width="16.6640625" style="2" customWidth="1"/>
    <col min="3348" max="3584" width="11.44140625" style="2"/>
    <col min="3585" max="3585" width="5.109375" style="2" customWidth="1"/>
    <col min="3586" max="3586" width="8.44140625" style="2" customWidth="1"/>
    <col min="3587" max="3587" width="11.44140625" style="2"/>
    <col min="3588" max="3588" width="54" style="2" customWidth="1"/>
    <col min="3589" max="3589" width="12.6640625" style="2" customWidth="1"/>
    <col min="3590" max="3590" width="12.33203125" style="2" bestFit="1" customWidth="1"/>
    <col min="3591" max="3591" width="8.6640625" style="2" bestFit="1" customWidth="1"/>
    <col min="3592" max="3592" width="9.44140625" style="2" bestFit="1" customWidth="1"/>
    <col min="3593" max="3593" width="11.44140625" style="2"/>
    <col min="3594" max="3594" width="8.6640625" style="2" bestFit="1" customWidth="1"/>
    <col min="3595" max="3595" width="13.33203125" style="2" customWidth="1"/>
    <col min="3596" max="3596" width="12.6640625" style="2" customWidth="1"/>
    <col min="3597" max="3597" width="17.6640625" style="2" customWidth="1"/>
    <col min="3598" max="3598" width="27.44140625" style="2" customWidth="1"/>
    <col min="3599" max="3599" width="26.33203125" style="2" customWidth="1"/>
    <col min="3600" max="3600" width="24.88671875" style="2" customWidth="1"/>
    <col min="3601" max="3601" width="19.44140625" style="2" customWidth="1"/>
    <col min="3602" max="3602" width="17.109375" style="2" customWidth="1"/>
    <col min="3603" max="3603" width="16.6640625" style="2" customWidth="1"/>
    <col min="3604" max="3840" width="11.44140625" style="2"/>
    <col min="3841" max="3841" width="5.109375" style="2" customWidth="1"/>
    <col min="3842" max="3842" width="8.44140625" style="2" customWidth="1"/>
    <col min="3843" max="3843" width="11.44140625" style="2"/>
    <col min="3844" max="3844" width="54" style="2" customWidth="1"/>
    <col min="3845" max="3845" width="12.6640625" style="2" customWidth="1"/>
    <col min="3846" max="3846" width="12.33203125" style="2" bestFit="1" customWidth="1"/>
    <col min="3847" max="3847" width="8.6640625" style="2" bestFit="1" customWidth="1"/>
    <col min="3848" max="3848" width="9.44140625" style="2" bestFit="1" customWidth="1"/>
    <col min="3849" max="3849" width="11.44140625" style="2"/>
    <col min="3850" max="3850" width="8.6640625" style="2" bestFit="1" customWidth="1"/>
    <col min="3851" max="3851" width="13.33203125" style="2" customWidth="1"/>
    <col min="3852" max="3852" width="12.6640625" style="2" customWidth="1"/>
    <col min="3853" max="3853" width="17.6640625" style="2" customWidth="1"/>
    <col min="3854" max="3854" width="27.44140625" style="2" customWidth="1"/>
    <col min="3855" max="3855" width="26.33203125" style="2" customWidth="1"/>
    <col min="3856" max="3856" width="24.88671875" style="2" customWidth="1"/>
    <col min="3857" max="3857" width="19.44140625" style="2" customWidth="1"/>
    <col min="3858" max="3858" width="17.109375" style="2" customWidth="1"/>
    <col min="3859" max="3859" width="16.6640625" style="2" customWidth="1"/>
    <col min="3860" max="4096" width="11.44140625" style="2"/>
    <col min="4097" max="4097" width="5.109375" style="2" customWidth="1"/>
    <col min="4098" max="4098" width="8.44140625" style="2" customWidth="1"/>
    <col min="4099" max="4099" width="11.44140625" style="2"/>
    <col min="4100" max="4100" width="54" style="2" customWidth="1"/>
    <col min="4101" max="4101" width="12.6640625" style="2" customWidth="1"/>
    <col min="4102" max="4102" width="12.33203125" style="2" bestFit="1" customWidth="1"/>
    <col min="4103" max="4103" width="8.6640625" style="2" bestFit="1" customWidth="1"/>
    <col min="4104" max="4104" width="9.44140625" style="2" bestFit="1" customWidth="1"/>
    <col min="4105" max="4105" width="11.44140625" style="2"/>
    <col min="4106" max="4106" width="8.6640625" style="2" bestFit="1" customWidth="1"/>
    <col min="4107" max="4107" width="13.33203125" style="2" customWidth="1"/>
    <col min="4108" max="4108" width="12.6640625" style="2" customWidth="1"/>
    <col min="4109" max="4109" width="17.6640625" style="2" customWidth="1"/>
    <col min="4110" max="4110" width="27.44140625" style="2" customWidth="1"/>
    <col min="4111" max="4111" width="26.33203125" style="2" customWidth="1"/>
    <col min="4112" max="4112" width="24.88671875" style="2" customWidth="1"/>
    <col min="4113" max="4113" width="19.44140625" style="2" customWidth="1"/>
    <col min="4114" max="4114" width="17.109375" style="2" customWidth="1"/>
    <col min="4115" max="4115" width="16.6640625" style="2" customWidth="1"/>
    <col min="4116" max="4352" width="11.44140625" style="2"/>
    <col min="4353" max="4353" width="5.109375" style="2" customWidth="1"/>
    <col min="4354" max="4354" width="8.44140625" style="2" customWidth="1"/>
    <col min="4355" max="4355" width="11.44140625" style="2"/>
    <col min="4356" max="4356" width="54" style="2" customWidth="1"/>
    <col min="4357" max="4357" width="12.6640625" style="2" customWidth="1"/>
    <col min="4358" max="4358" width="12.33203125" style="2" bestFit="1" customWidth="1"/>
    <col min="4359" max="4359" width="8.6640625" style="2" bestFit="1" customWidth="1"/>
    <col min="4360" max="4360" width="9.44140625" style="2" bestFit="1" customWidth="1"/>
    <col min="4361" max="4361" width="11.44140625" style="2"/>
    <col min="4362" max="4362" width="8.6640625" style="2" bestFit="1" customWidth="1"/>
    <col min="4363" max="4363" width="13.33203125" style="2" customWidth="1"/>
    <col min="4364" max="4364" width="12.6640625" style="2" customWidth="1"/>
    <col min="4365" max="4365" width="17.6640625" style="2" customWidth="1"/>
    <col min="4366" max="4366" width="27.44140625" style="2" customWidth="1"/>
    <col min="4367" max="4367" width="26.33203125" style="2" customWidth="1"/>
    <col min="4368" max="4368" width="24.88671875" style="2" customWidth="1"/>
    <col min="4369" max="4369" width="19.44140625" style="2" customWidth="1"/>
    <col min="4370" max="4370" width="17.109375" style="2" customWidth="1"/>
    <col min="4371" max="4371" width="16.6640625" style="2" customWidth="1"/>
    <col min="4372" max="4608" width="11.44140625" style="2"/>
    <col min="4609" max="4609" width="5.109375" style="2" customWidth="1"/>
    <col min="4610" max="4610" width="8.44140625" style="2" customWidth="1"/>
    <col min="4611" max="4611" width="11.44140625" style="2"/>
    <col min="4612" max="4612" width="54" style="2" customWidth="1"/>
    <col min="4613" max="4613" width="12.6640625" style="2" customWidth="1"/>
    <col min="4614" max="4614" width="12.33203125" style="2" bestFit="1" customWidth="1"/>
    <col min="4615" max="4615" width="8.6640625" style="2" bestFit="1" customWidth="1"/>
    <col min="4616" max="4616" width="9.44140625" style="2" bestFit="1" customWidth="1"/>
    <col min="4617" max="4617" width="11.44140625" style="2"/>
    <col min="4618" max="4618" width="8.6640625" style="2" bestFit="1" customWidth="1"/>
    <col min="4619" max="4619" width="13.33203125" style="2" customWidth="1"/>
    <col min="4620" max="4620" width="12.6640625" style="2" customWidth="1"/>
    <col min="4621" max="4621" width="17.6640625" style="2" customWidth="1"/>
    <col min="4622" max="4622" width="27.44140625" style="2" customWidth="1"/>
    <col min="4623" max="4623" width="26.33203125" style="2" customWidth="1"/>
    <col min="4624" max="4624" width="24.88671875" style="2" customWidth="1"/>
    <col min="4625" max="4625" width="19.44140625" style="2" customWidth="1"/>
    <col min="4626" max="4626" width="17.109375" style="2" customWidth="1"/>
    <col min="4627" max="4627" width="16.6640625" style="2" customWidth="1"/>
    <col min="4628" max="4864" width="11.44140625" style="2"/>
    <col min="4865" max="4865" width="5.109375" style="2" customWidth="1"/>
    <col min="4866" max="4866" width="8.44140625" style="2" customWidth="1"/>
    <col min="4867" max="4867" width="11.44140625" style="2"/>
    <col min="4868" max="4868" width="54" style="2" customWidth="1"/>
    <col min="4869" max="4869" width="12.6640625" style="2" customWidth="1"/>
    <col min="4870" max="4870" width="12.33203125" style="2" bestFit="1" customWidth="1"/>
    <col min="4871" max="4871" width="8.6640625" style="2" bestFit="1" customWidth="1"/>
    <col min="4872" max="4872" width="9.44140625" style="2" bestFit="1" customWidth="1"/>
    <col min="4873" max="4873" width="11.44140625" style="2"/>
    <col min="4874" max="4874" width="8.6640625" style="2" bestFit="1" customWidth="1"/>
    <col min="4875" max="4875" width="13.33203125" style="2" customWidth="1"/>
    <col min="4876" max="4876" width="12.6640625" style="2" customWidth="1"/>
    <col min="4877" max="4877" width="17.6640625" style="2" customWidth="1"/>
    <col min="4878" max="4878" width="27.44140625" style="2" customWidth="1"/>
    <col min="4879" max="4879" width="26.33203125" style="2" customWidth="1"/>
    <col min="4880" max="4880" width="24.88671875" style="2" customWidth="1"/>
    <col min="4881" max="4881" width="19.44140625" style="2" customWidth="1"/>
    <col min="4882" max="4882" width="17.109375" style="2" customWidth="1"/>
    <col min="4883" max="4883" width="16.6640625" style="2" customWidth="1"/>
    <col min="4884" max="5120" width="11.44140625" style="2"/>
    <col min="5121" max="5121" width="5.109375" style="2" customWidth="1"/>
    <col min="5122" max="5122" width="8.44140625" style="2" customWidth="1"/>
    <col min="5123" max="5123" width="11.44140625" style="2"/>
    <col min="5124" max="5124" width="54" style="2" customWidth="1"/>
    <col min="5125" max="5125" width="12.6640625" style="2" customWidth="1"/>
    <col min="5126" max="5126" width="12.33203125" style="2" bestFit="1" customWidth="1"/>
    <col min="5127" max="5127" width="8.6640625" style="2" bestFit="1" customWidth="1"/>
    <col min="5128" max="5128" width="9.44140625" style="2" bestFit="1" customWidth="1"/>
    <col min="5129" max="5129" width="11.44140625" style="2"/>
    <col min="5130" max="5130" width="8.6640625" style="2" bestFit="1" customWidth="1"/>
    <col min="5131" max="5131" width="13.33203125" style="2" customWidth="1"/>
    <col min="5132" max="5132" width="12.6640625" style="2" customWidth="1"/>
    <col min="5133" max="5133" width="17.6640625" style="2" customWidth="1"/>
    <col min="5134" max="5134" width="27.44140625" style="2" customWidth="1"/>
    <col min="5135" max="5135" width="26.33203125" style="2" customWidth="1"/>
    <col min="5136" max="5136" width="24.88671875" style="2" customWidth="1"/>
    <col min="5137" max="5137" width="19.44140625" style="2" customWidth="1"/>
    <col min="5138" max="5138" width="17.109375" style="2" customWidth="1"/>
    <col min="5139" max="5139" width="16.6640625" style="2" customWidth="1"/>
    <col min="5140" max="5376" width="11.44140625" style="2"/>
    <col min="5377" max="5377" width="5.109375" style="2" customWidth="1"/>
    <col min="5378" max="5378" width="8.44140625" style="2" customWidth="1"/>
    <col min="5379" max="5379" width="11.44140625" style="2"/>
    <col min="5380" max="5380" width="54" style="2" customWidth="1"/>
    <col min="5381" max="5381" width="12.6640625" style="2" customWidth="1"/>
    <col min="5382" max="5382" width="12.33203125" style="2" bestFit="1" customWidth="1"/>
    <col min="5383" max="5383" width="8.6640625" style="2" bestFit="1" customWidth="1"/>
    <col min="5384" max="5384" width="9.44140625" style="2" bestFit="1" customWidth="1"/>
    <col min="5385" max="5385" width="11.44140625" style="2"/>
    <col min="5386" max="5386" width="8.6640625" style="2" bestFit="1" customWidth="1"/>
    <col min="5387" max="5387" width="13.33203125" style="2" customWidth="1"/>
    <col min="5388" max="5388" width="12.6640625" style="2" customWidth="1"/>
    <col min="5389" max="5389" width="17.6640625" style="2" customWidth="1"/>
    <col min="5390" max="5390" width="27.44140625" style="2" customWidth="1"/>
    <col min="5391" max="5391" width="26.33203125" style="2" customWidth="1"/>
    <col min="5392" max="5392" width="24.88671875" style="2" customWidth="1"/>
    <col min="5393" max="5393" width="19.44140625" style="2" customWidth="1"/>
    <col min="5394" max="5394" width="17.109375" style="2" customWidth="1"/>
    <col min="5395" max="5395" width="16.6640625" style="2" customWidth="1"/>
    <col min="5396" max="5632" width="11.44140625" style="2"/>
    <col min="5633" max="5633" width="5.109375" style="2" customWidth="1"/>
    <col min="5634" max="5634" width="8.44140625" style="2" customWidth="1"/>
    <col min="5635" max="5635" width="11.44140625" style="2"/>
    <col min="5636" max="5636" width="54" style="2" customWidth="1"/>
    <col min="5637" max="5637" width="12.6640625" style="2" customWidth="1"/>
    <col min="5638" max="5638" width="12.33203125" style="2" bestFit="1" customWidth="1"/>
    <col min="5639" max="5639" width="8.6640625" style="2" bestFit="1" customWidth="1"/>
    <col min="5640" max="5640" width="9.44140625" style="2" bestFit="1" customWidth="1"/>
    <col min="5641" max="5641" width="11.44140625" style="2"/>
    <col min="5642" max="5642" width="8.6640625" style="2" bestFit="1" customWidth="1"/>
    <col min="5643" max="5643" width="13.33203125" style="2" customWidth="1"/>
    <col min="5644" max="5644" width="12.6640625" style="2" customWidth="1"/>
    <col min="5645" max="5645" width="17.6640625" style="2" customWidth="1"/>
    <col min="5646" max="5646" width="27.44140625" style="2" customWidth="1"/>
    <col min="5647" max="5647" width="26.33203125" style="2" customWidth="1"/>
    <col min="5648" max="5648" width="24.88671875" style="2" customWidth="1"/>
    <col min="5649" max="5649" width="19.44140625" style="2" customWidth="1"/>
    <col min="5650" max="5650" width="17.109375" style="2" customWidth="1"/>
    <col min="5651" max="5651" width="16.6640625" style="2" customWidth="1"/>
    <col min="5652" max="5888" width="11.44140625" style="2"/>
    <col min="5889" max="5889" width="5.109375" style="2" customWidth="1"/>
    <col min="5890" max="5890" width="8.44140625" style="2" customWidth="1"/>
    <col min="5891" max="5891" width="11.44140625" style="2"/>
    <col min="5892" max="5892" width="54" style="2" customWidth="1"/>
    <col min="5893" max="5893" width="12.6640625" style="2" customWidth="1"/>
    <col min="5894" max="5894" width="12.33203125" style="2" bestFit="1" customWidth="1"/>
    <col min="5895" max="5895" width="8.6640625" style="2" bestFit="1" customWidth="1"/>
    <col min="5896" max="5896" width="9.44140625" style="2" bestFit="1" customWidth="1"/>
    <col min="5897" max="5897" width="11.44140625" style="2"/>
    <col min="5898" max="5898" width="8.6640625" style="2" bestFit="1" customWidth="1"/>
    <col min="5899" max="5899" width="13.33203125" style="2" customWidth="1"/>
    <col min="5900" max="5900" width="12.6640625" style="2" customWidth="1"/>
    <col min="5901" max="5901" width="17.6640625" style="2" customWidth="1"/>
    <col min="5902" max="5902" width="27.44140625" style="2" customWidth="1"/>
    <col min="5903" max="5903" width="26.33203125" style="2" customWidth="1"/>
    <col min="5904" max="5904" width="24.88671875" style="2" customWidth="1"/>
    <col min="5905" max="5905" width="19.44140625" style="2" customWidth="1"/>
    <col min="5906" max="5906" width="17.109375" style="2" customWidth="1"/>
    <col min="5907" max="5907" width="16.6640625" style="2" customWidth="1"/>
    <col min="5908" max="6144" width="11.44140625" style="2"/>
    <col min="6145" max="6145" width="5.109375" style="2" customWidth="1"/>
    <col min="6146" max="6146" width="8.44140625" style="2" customWidth="1"/>
    <col min="6147" max="6147" width="11.44140625" style="2"/>
    <col min="6148" max="6148" width="54" style="2" customWidth="1"/>
    <col min="6149" max="6149" width="12.6640625" style="2" customWidth="1"/>
    <col min="6150" max="6150" width="12.33203125" style="2" bestFit="1" customWidth="1"/>
    <col min="6151" max="6151" width="8.6640625" style="2" bestFit="1" customWidth="1"/>
    <col min="6152" max="6152" width="9.44140625" style="2" bestFit="1" customWidth="1"/>
    <col min="6153" max="6153" width="11.44140625" style="2"/>
    <col min="6154" max="6154" width="8.6640625" style="2" bestFit="1" customWidth="1"/>
    <col min="6155" max="6155" width="13.33203125" style="2" customWidth="1"/>
    <col min="6156" max="6156" width="12.6640625" style="2" customWidth="1"/>
    <col min="6157" max="6157" width="17.6640625" style="2" customWidth="1"/>
    <col min="6158" max="6158" width="27.44140625" style="2" customWidth="1"/>
    <col min="6159" max="6159" width="26.33203125" style="2" customWidth="1"/>
    <col min="6160" max="6160" width="24.88671875" style="2" customWidth="1"/>
    <col min="6161" max="6161" width="19.44140625" style="2" customWidth="1"/>
    <col min="6162" max="6162" width="17.109375" style="2" customWidth="1"/>
    <col min="6163" max="6163" width="16.6640625" style="2" customWidth="1"/>
    <col min="6164" max="6400" width="11.44140625" style="2"/>
    <col min="6401" max="6401" width="5.109375" style="2" customWidth="1"/>
    <col min="6402" max="6402" width="8.44140625" style="2" customWidth="1"/>
    <col min="6403" max="6403" width="11.44140625" style="2"/>
    <col min="6404" max="6404" width="54" style="2" customWidth="1"/>
    <col min="6405" max="6405" width="12.6640625" style="2" customWidth="1"/>
    <col min="6406" max="6406" width="12.33203125" style="2" bestFit="1" customWidth="1"/>
    <col min="6407" max="6407" width="8.6640625" style="2" bestFit="1" customWidth="1"/>
    <col min="6408" max="6408" width="9.44140625" style="2" bestFit="1" customWidth="1"/>
    <col min="6409" max="6409" width="11.44140625" style="2"/>
    <col min="6410" max="6410" width="8.6640625" style="2" bestFit="1" customWidth="1"/>
    <col min="6411" max="6411" width="13.33203125" style="2" customWidth="1"/>
    <col min="6412" max="6412" width="12.6640625" style="2" customWidth="1"/>
    <col min="6413" max="6413" width="17.6640625" style="2" customWidth="1"/>
    <col min="6414" max="6414" width="27.44140625" style="2" customWidth="1"/>
    <col min="6415" max="6415" width="26.33203125" style="2" customWidth="1"/>
    <col min="6416" max="6416" width="24.88671875" style="2" customWidth="1"/>
    <col min="6417" max="6417" width="19.44140625" style="2" customWidth="1"/>
    <col min="6418" max="6418" width="17.109375" style="2" customWidth="1"/>
    <col min="6419" max="6419" width="16.6640625" style="2" customWidth="1"/>
    <col min="6420" max="6656" width="11.44140625" style="2"/>
    <col min="6657" max="6657" width="5.109375" style="2" customWidth="1"/>
    <col min="6658" max="6658" width="8.44140625" style="2" customWidth="1"/>
    <col min="6659" max="6659" width="11.44140625" style="2"/>
    <col min="6660" max="6660" width="54" style="2" customWidth="1"/>
    <col min="6661" max="6661" width="12.6640625" style="2" customWidth="1"/>
    <col min="6662" max="6662" width="12.33203125" style="2" bestFit="1" customWidth="1"/>
    <col min="6663" max="6663" width="8.6640625" style="2" bestFit="1" customWidth="1"/>
    <col min="6664" max="6664" width="9.44140625" style="2" bestFit="1" customWidth="1"/>
    <col min="6665" max="6665" width="11.44140625" style="2"/>
    <col min="6666" max="6666" width="8.6640625" style="2" bestFit="1" customWidth="1"/>
    <col min="6667" max="6667" width="13.33203125" style="2" customWidth="1"/>
    <col min="6668" max="6668" width="12.6640625" style="2" customWidth="1"/>
    <col min="6669" max="6669" width="17.6640625" style="2" customWidth="1"/>
    <col min="6670" max="6670" width="27.44140625" style="2" customWidth="1"/>
    <col min="6671" max="6671" width="26.33203125" style="2" customWidth="1"/>
    <col min="6672" max="6672" width="24.88671875" style="2" customWidth="1"/>
    <col min="6673" max="6673" width="19.44140625" style="2" customWidth="1"/>
    <col min="6674" max="6674" width="17.109375" style="2" customWidth="1"/>
    <col min="6675" max="6675" width="16.6640625" style="2" customWidth="1"/>
    <col min="6676" max="6912" width="11.44140625" style="2"/>
    <col min="6913" max="6913" width="5.109375" style="2" customWidth="1"/>
    <col min="6914" max="6914" width="8.44140625" style="2" customWidth="1"/>
    <col min="6915" max="6915" width="11.44140625" style="2"/>
    <col min="6916" max="6916" width="54" style="2" customWidth="1"/>
    <col min="6917" max="6917" width="12.6640625" style="2" customWidth="1"/>
    <col min="6918" max="6918" width="12.33203125" style="2" bestFit="1" customWidth="1"/>
    <col min="6919" max="6919" width="8.6640625" style="2" bestFit="1" customWidth="1"/>
    <col min="6920" max="6920" width="9.44140625" style="2" bestFit="1" customWidth="1"/>
    <col min="6921" max="6921" width="11.44140625" style="2"/>
    <col min="6922" max="6922" width="8.6640625" style="2" bestFit="1" customWidth="1"/>
    <col min="6923" max="6923" width="13.33203125" style="2" customWidth="1"/>
    <col min="6924" max="6924" width="12.6640625" style="2" customWidth="1"/>
    <col min="6925" max="6925" width="17.6640625" style="2" customWidth="1"/>
    <col min="6926" max="6926" width="27.44140625" style="2" customWidth="1"/>
    <col min="6927" max="6927" width="26.33203125" style="2" customWidth="1"/>
    <col min="6928" max="6928" width="24.88671875" style="2" customWidth="1"/>
    <col min="6929" max="6929" width="19.44140625" style="2" customWidth="1"/>
    <col min="6930" max="6930" width="17.109375" style="2" customWidth="1"/>
    <col min="6931" max="6931" width="16.6640625" style="2" customWidth="1"/>
    <col min="6932" max="7168" width="11.44140625" style="2"/>
    <col min="7169" max="7169" width="5.109375" style="2" customWidth="1"/>
    <col min="7170" max="7170" width="8.44140625" style="2" customWidth="1"/>
    <col min="7171" max="7171" width="11.44140625" style="2"/>
    <col min="7172" max="7172" width="54" style="2" customWidth="1"/>
    <col min="7173" max="7173" width="12.6640625" style="2" customWidth="1"/>
    <col min="7174" max="7174" width="12.33203125" style="2" bestFit="1" customWidth="1"/>
    <col min="7175" max="7175" width="8.6640625" style="2" bestFit="1" customWidth="1"/>
    <col min="7176" max="7176" width="9.44140625" style="2" bestFit="1" customWidth="1"/>
    <col min="7177" max="7177" width="11.44140625" style="2"/>
    <col min="7178" max="7178" width="8.6640625" style="2" bestFit="1" customWidth="1"/>
    <col min="7179" max="7179" width="13.33203125" style="2" customWidth="1"/>
    <col min="7180" max="7180" width="12.6640625" style="2" customWidth="1"/>
    <col min="7181" max="7181" width="17.6640625" style="2" customWidth="1"/>
    <col min="7182" max="7182" width="27.44140625" style="2" customWidth="1"/>
    <col min="7183" max="7183" width="26.33203125" style="2" customWidth="1"/>
    <col min="7184" max="7184" width="24.88671875" style="2" customWidth="1"/>
    <col min="7185" max="7185" width="19.44140625" style="2" customWidth="1"/>
    <col min="7186" max="7186" width="17.109375" style="2" customWidth="1"/>
    <col min="7187" max="7187" width="16.6640625" style="2" customWidth="1"/>
    <col min="7188" max="7424" width="11.44140625" style="2"/>
    <col min="7425" max="7425" width="5.109375" style="2" customWidth="1"/>
    <col min="7426" max="7426" width="8.44140625" style="2" customWidth="1"/>
    <col min="7427" max="7427" width="11.44140625" style="2"/>
    <col min="7428" max="7428" width="54" style="2" customWidth="1"/>
    <col min="7429" max="7429" width="12.6640625" style="2" customWidth="1"/>
    <col min="7430" max="7430" width="12.33203125" style="2" bestFit="1" customWidth="1"/>
    <col min="7431" max="7431" width="8.6640625" style="2" bestFit="1" customWidth="1"/>
    <col min="7432" max="7432" width="9.44140625" style="2" bestFit="1" customWidth="1"/>
    <col min="7433" max="7433" width="11.44140625" style="2"/>
    <col min="7434" max="7434" width="8.6640625" style="2" bestFit="1" customWidth="1"/>
    <col min="7435" max="7435" width="13.33203125" style="2" customWidth="1"/>
    <col min="7436" max="7436" width="12.6640625" style="2" customWidth="1"/>
    <col min="7437" max="7437" width="17.6640625" style="2" customWidth="1"/>
    <col min="7438" max="7438" width="27.44140625" style="2" customWidth="1"/>
    <col min="7439" max="7439" width="26.33203125" style="2" customWidth="1"/>
    <col min="7440" max="7440" width="24.88671875" style="2" customWidth="1"/>
    <col min="7441" max="7441" width="19.44140625" style="2" customWidth="1"/>
    <col min="7442" max="7442" width="17.109375" style="2" customWidth="1"/>
    <col min="7443" max="7443" width="16.6640625" style="2" customWidth="1"/>
    <col min="7444" max="7680" width="11.44140625" style="2"/>
    <col min="7681" max="7681" width="5.109375" style="2" customWidth="1"/>
    <col min="7682" max="7682" width="8.44140625" style="2" customWidth="1"/>
    <col min="7683" max="7683" width="11.44140625" style="2"/>
    <col min="7684" max="7684" width="54" style="2" customWidth="1"/>
    <col min="7685" max="7685" width="12.6640625" style="2" customWidth="1"/>
    <col min="7686" max="7686" width="12.33203125" style="2" bestFit="1" customWidth="1"/>
    <col min="7687" max="7687" width="8.6640625" style="2" bestFit="1" customWidth="1"/>
    <col min="7688" max="7688" width="9.44140625" style="2" bestFit="1" customWidth="1"/>
    <col min="7689" max="7689" width="11.44140625" style="2"/>
    <col min="7690" max="7690" width="8.6640625" style="2" bestFit="1" customWidth="1"/>
    <col min="7691" max="7691" width="13.33203125" style="2" customWidth="1"/>
    <col min="7692" max="7692" width="12.6640625" style="2" customWidth="1"/>
    <col min="7693" max="7693" width="17.6640625" style="2" customWidth="1"/>
    <col min="7694" max="7694" width="27.44140625" style="2" customWidth="1"/>
    <col min="7695" max="7695" width="26.33203125" style="2" customWidth="1"/>
    <col min="7696" max="7696" width="24.88671875" style="2" customWidth="1"/>
    <col min="7697" max="7697" width="19.44140625" style="2" customWidth="1"/>
    <col min="7698" max="7698" width="17.109375" style="2" customWidth="1"/>
    <col min="7699" max="7699" width="16.6640625" style="2" customWidth="1"/>
    <col min="7700" max="7936" width="11.44140625" style="2"/>
    <col min="7937" max="7937" width="5.109375" style="2" customWidth="1"/>
    <col min="7938" max="7938" width="8.44140625" style="2" customWidth="1"/>
    <col min="7939" max="7939" width="11.44140625" style="2"/>
    <col min="7940" max="7940" width="54" style="2" customWidth="1"/>
    <col min="7941" max="7941" width="12.6640625" style="2" customWidth="1"/>
    <col min="7942" max="7942" width="12.33203125" style="2" bestFit="1" customWidth="1"/>
    <col min="7943" max="7943" width="8.6640625" style="2" bestFit="1" customWidth="1"/>
    <col min="7944" max="7944" width="9.44140625" style="2" bestFit="1" customWidth="1"/>
    <col min="7945" max="7945" width="11.44140625" style="2"/>
    <col min="7946" max="7946" width="8.6640625" style="2" bestFit="1" customWidth="1"/>
    <col min="7947" max="7947" width="13.33203125" style="2" customWidth="1"/>
    <col min="7948" max="7948" width="12.6640625" style="2" customWidth="1"/>
    <col min="7949" max="7949" width="17.6640625" style="2" customWidth="1"/>
    <col min="7950" max="7950" width="27.44140625" style="2" customWidth="1"/>
    <col min="7951" max="7951" width="26.33203125" style="2" customWidth="1"/>
    <col min="7952" max="7952" width="24.88671875" style="2" customWidth="1"/>
    <col min="7953" max="7953" width="19.44140625" style="2" customWidth="1"/>
    <col min="7954" max="7954" width="17.109375" style="2" customWidth="1"/>
    <col min="7955" max="7955" width="16.6640625" style="2" customWidth="1"/>
    <col min="7956" max="8192" width="11.44140625" style="2"/>
    <col min="8193" max="8193" width="5.109375" style="2" customWidth="1"/>
    <col min="8194" max="8194" width="8.44140625" style="2" customWidth="1"/>
    <col min="8195" max="8195" width="11.44140625" style="2"/>
    <col min="8196" max="8196" width="54" style="2" customWidth="1"/>
    <col min="8197" max="8197" width="12.6640625" style="2" customWidth="1"/>
    <col min="8198" max="8198" width="12.33203125" style="2" bestFit="1" customWidth="1"/>
    <col min="8199" max="8199" width="8.6640625" style="2" bestFit="1" customWidth="1"/>
    <col min="8200" max="8200" width="9.44140625" style="2" bestFit="1" customWidth="1"/>
    <col min="8201" max="8201" width="11.44140625" style="2"/>
    <col min="8202" max="8202" width="8.6640625" style="2" bestFit="1" customWidth="1"/>
    <col min="8203" max="8203" width="13.33203125" style="2" customWidth="1"/>
    <col min="8204" max="8204" width="12.6640625" style="2" customWidth="1"/>
    <col min="8205" max="8205" width="17.6640625" style="2" customWidth="1"/>
    <col min="8206" max="8206" width="27.44140625" style="2" customWidth="1"/>
    <col min="8207" max="8207" width="26.33203125" style="2" customWidth="1"/>
    <col min="8208" max="8208" width="24.88671875" style="2" customWidth="1"/>
    <col min="8209" max="8209" width="19.44140625" style="2" customWidth="1"/>
    <col min="8210" max="8210" width="17.109375" style="2" customWidth="1"/>
    <col min="8211" max="8211" width="16.6640625" style="2" customWidth="1"/>
    <col min="8212" max="8448" width="11.44140625" style="2"/>
    <col min="8449" max="8449" width="5.109375" style="2" customWidth="1"/>
    <col min="8450" max="8450" width="8.44140625" style="2" customWidth="1"/>
    <col min="8451" max="8451" width="11.44140625" style="2"/>
    <col min="8452" max="8452" width="54" style="2" customWidth="1"/>
    <col min="8453" max="8453" width="12.6640625" style="2" customWidth="1"/>
    <col min="8454" max="8454" width="12.33203125" style="2" bestFit="1" customWidth="1"/>
    <col min="8455" max="8455" width="8.6640625" style="2" bestFit="1" customWidth="1"/>
    <col min="8456" max="8456" width="9.44140625" style="2" bestFit="1" customWidth="1"/>
    <col min="8457" max="8457" width="11.44140625" style="2"/>
    <col min="8458" max="8458" width="8.6640625" style="2" bestFit="1" customWidth="1"/>
    <col min="8459" max="8459" width="13.33203125" style="2" customWidth="1"/>
    <col min="8460" max="8460" width="12.6640625" style="2" customWidth="1"/>
    <col min="8461" max="8461" width="17.6640625" style="2" customWidth="1"/>
    <col min="8462" max="8462" width="27.44140625" style="2" customWidth="1"/>
    <col min="8463" max="8463" width="26.33203125" style="2" customWidth="1"/>
    <col min="8464" max="8464" width="24.88671875" style="2" customWidth="1"/>
    <col min="8465" max="8465" width="19.44140625" style="2" customWidth="1"/>
    <col min="8466" max="8466" width="17.109375" style="2" customWidth="1"/>
    <col min="8467" max="8467" width="16.6640625" style="2" customWidth="1"/>
    <col min="8468" max="8704" width="11.44140625" style="2"/>
    <col min="8705" max="8705" width="5.109375" style="2" customWidth="1"/>
    <col min="8706" max="8706" width="8.44140625" style="2" customWidth="1"/>
    <col min="8707" max="8707" width="11.44140625" style="2"/>
    <col min="8708" max="8708" width="54" style="2" customWidth="1"/>
    <col min="8709" max="8709" width="12.6640625" style="2" customWidth="1"/>
    <col min="8710" max="8710" width="12.33203125" style="2" bestFit="1" customWidth="1"/>
    <col min="8711" max="8711" width="8.6640625" style="2" bestFit="1" customWidth="1"/>
    <col min="8712" max="8712" width="9.44140625" style="2" bestFit="1" customWidth="1"/>
    <col min="8713" max="8713" width="11.44140625" style="2"/>
    <col min="8714" max="8714" width="8.6640625" style="2" bestFit="1" customWidth="1"/>
    <col min="8715" max="8715" width="13.33203125" style="2" customWidth="1"/>
    <col min="8716" max="8716" width="12.6640625" style="2" customWidth="1"/>
    <col min="8717" max="8717" width="17.6640625" style="2" customWidth="1"/>
    <col min="8718" max="8718" width="27.44140625" style="2" customWidth="1"/>
    <col min="8719" max="8719" width="26.33203125" style="2" customWidth="1"/>
    <col min="8720" max="8720" width="24.88671875" style="2" customWidth="1"/>
    <col min="8721" max="8721" width="19.44140625" style="2" customWidth="1"/>
    <col min="8722" max="8722" width="17.109375" style="2" customWidth="1"/>
    <col min="8723" max="8723" width="16.6640625" style="2" customWidth="1"/>
    <col min="8724" max="8960" width="11.44140625" style="2"/>
    <col min="8961" max="8961" width="5.109375" style="2" customWidth="1"/>
    <col min="8962" max="8962" width="8.44140625" style="2" customWidth="1"/>
    <col min="8963" max="8963" width="11.44140625" style="2"/>
    <col min="8964" max="8964" width="54" style="2" customWidth="1"/>
    <col min="8965" max="8965" width="12.6640625" style="2" customWidth="1"/>
    <col min="8966" max="8966" width="12.33203125" style="2" bestFit="1" customWidth="1"/>
    <col min="8967" max="8967" width="8.6640625" style="2" bestFit="1" customWidth="1"/>
    <col min="8968" max="8968" width="9.44140625" style="2" bestFit="1" customWidth="1"/>
    <col min="8969" max="8969" width="11.44140625" style="2"/>
    <col min="8970" max="8970" width="8.6640625" style="2" bestFit="1" customWidth="1"/>
    <col min="8971" max="8971" width="13.33203125" style="2" customWidth="1"/>
    <col min="8972" max="8972" width="12.6640625" style="2" customWidth="1"/>
    <col min="8973" max="8973" width="17.6640625" style="2" customWidth="1"/>
    <col min="8974" max="8974" width="27.44140625" style="2" customWidth="1"/>
    <col min="8975" max="8975" width="26.33203125" style="2" customWidth="1"/>
    <col min="8976" max="8976" width="24.88671875" style="2" customWidth="1"/>
    <col min="8977" max="8977" width="19.44140625" style="2" customWidth="1"/>
    <col min="8978" max="8978" width="17.109375" style="2" customWidth="1"/>
    <col min="8979" max="8979" width="16.6640625" style="2" customWidth="1"/>
    <col min="8980" max="9216" width="11.44140625" style="2"/>
    <col min="9217" max="9217" width="5.109375" style="2" customWidth="1"/>
    <col min="9218" max="9218" width="8.44140625" style="2" customWidth="1"/>
    <col min="9219" max="9219" width="11.44140625" style="2"/>
    <col min="9220" max="9220" width="54" style="2" customWidth="1"/>
    <col min="9221" max="9221" width="12.6640625" style="2" customWidth="1"/>
    <col min="9222" max="9222" width="12.33203125" style="2" bestFit="1" customWidth="1"/>
    <col min="9223" max="9223" width="8.6640625" style="2" bestFit="1" customWidth="1"/>
    <col min="9224" max="9224" width="9.44140625" style="2" bestFit="1" customWidth="1"/>
    <col min="9225" max="9225" width="11.44140625" style="2"/>
    <col min="9226" max="9226" width="8.6640625" style="2" bestFit="1" customWidth="1"/>
    <col min="9227" max="9227" width="13.33203125" style="2" customWidth="1"/>
    <col min="9228" max="9228" width="12.6640625" style="2" customWidth="1"/>
    <col min="9229" max="9229" width="17.6640625" style="2" customWidth="1"/>
    <col min="9230" max="9230" width="27.44140625" style="2" customWidth="1"/>
    <col min="9231" max="9231" width="26.33203125" style="2" customWidth="1"/>
    <col min="9232" max="9232" width="24.88671875" style="2" customWidth="1"/>
    <col min="9233" max="9233" width="19.44140625" style="2" customWidth="1"/>
    <col min="9234" max="9234" width="17.109375" style="2" customWidth="1"/>
    <col min="9235" max="9235" width="16.6640625" style="2" customWidth="1"/>
    <col min="9236" max="9472" width="11.44140625" style="2"/>
    <col min="9473" max="9473" width="5.109375" style="2" customWidth="1"/>
    <col min="9474" max="9474" width="8.44140625" style="2" customWidth="1"/>
    <col min="9475" max="9475" width="11.44140625" style="2"/>
    <col min="9476" max="9476" width="54" style="2" customWidth="1"/>
    <col min="9477" max="9477" width="12.6640625" style="2" customWidth="1"/>
    <col min="9478" max="9478" width="12.33203125" style="2" bestFit="1" customWidth="1"/>
    <col min="9479" max="9479" width="8.6640625" style="2" bestFit="1" customWidth="1"/>
    <col min="9480" max="9480" width="9.44140625" style="2" bestFit="1" customWidth="1"/>
    <col min="9481" max="9481" width="11.44140625" style="2"/>
    <col min="9482" max="9482" width="8.6640625" style="2" bestFit="1" customWidth="1"/>
    <col min="9483" max="9483" width="13.33203125" style="2" customWidth="1"/>
    <col min="9484" max="9484" width="12.6640625" style="2" customWidth="1"/>
    <col min="9485" max="9485" width="17.6640625" style="2" customWidth="1"/>
    <col min="9486" max="9486" width="27.44140625" style="2" customWidth="1"/>
    <col min="9487" max="9487" width="26.33203125" style="2" customWidth="1"/>
    <col min="9488" max="9488" width="24.88671875" style="2" customWidth="1"/>
    <col min="9489" max="9489" width="19.44140625" style="2" customWidth="1"/>
    <col min="9490" max="9490" width="17.109375" style="2" customWidth="1"/>
    <col min="9491" max="9491" width="16.6640625" style="2" customWidth="1"/>
    <col min="9492" max="9728" width="11.44140625" style="2"/>
    <col min="9729" max="9729" width="5.109375" style="2" customWidth="1"/>
    <col min="9730" max="9730" width="8.44140625" style="2" customWidth="1"/>
    <col min="9731" max="9731" width="11.44140625" style="2"/>
    <col min="9732" max="9732" width="54" style="2" customWidth="1"/>
    <col min="9733" max="9733" width="12.6640625" style="2" customWidth="1"/>
    <col min="9734" max="9734" width="12.33203125" style="2" bestFit="1" customWidth="1"/>
    <col min="9735" max="9735" width="8.6640625" style="2" bestFit="1" customWidth="1"/>
    <col min="9736" max="9736" width="9.44140625" style="2" bestFit="1" customWidth="1"/>
    <col min="9737" max="9737" width="11.44140625" style="2"/>
    <col min="9738" max="9738" width="8.6640625" style="2" bestFit="1" customWidth="1"/>
    <col min="9739" max="9739" width="13.33203125" style="2" customWidth="1"/>
    <col min="9740" max="9740" width="12.6640625" style="2" customWidth="1"/>
    <col min="9741" max="9741" width="17.6640625" style="2" customWidth="1"/>
    <col min="9742" max="9742" width="27.44140625" style="2" customWidth="1"/>
    <col min="9743" max="9743" width="26.33203125" style="2" customWidth="1"/>
    <col min="9744" max="9744" width="24.88671875" style="2" customWidth="1"/>
    <col min="9745" max="9745" width="19.44140625" style="2" customWidth="1"/>
    <col min="9746" max="9746" width="17.109375" style="2" customWidth="1"/>
    <col min="9747" max="9747" width="16.6640625" style="2" customWidth="1"/>
    <col min="9748" max="9984" width="11.44140625" style="2"/>
    <col min="9985" max="9985" width="5.109375" style="2" customWidth="1"/>
    <col min="9986" max="9986" width="8.44140625" style="2" customWidth="1"/>
    <col min="9987" max="9987" width="11.44140625" style="2"/>
    <col min="9988" max="9988" width="54" style="2" customWidth="1"/>
    <col min="9989" max="9989" width="12.6640625" style="2" customWidth="1"/>
    <col min="9990" max="9990" width="12.33203125" style="2" bestFit="1" customWidth="1"/>
    <col min="9991" max="9991" width="8.6640625" style="2" bestFit="1" customWidth="1"/>
    <col min="9992" max="9992" width="9.44140625" style="2" bestFit="1" customWidth="1"/>
    <col min="9993" max="9993" width="11.44140625" style="2"/>
    <col min="9994" max="9994" width="8.6640625" style="2" bestFit="1" customWidth="1"/>
    <col min="9995" max="9995" width="13.33203125" style="2" customWidth="1"/>
    <col min="9996" max="9996" width="12.6640625" style="2" customWidth="1"/>
    <col min="9997" max="9997" width="17.6640625" style="2" customWidth="1"/>
    <col min="9998" max="9998" width="27.44140625" style="2" customWidth="1"/>
    <col min="9999" max="9999" width="26.33203125" style="2" customWidth="1"/>
    <col min="10000" max="10000" width="24.88671875" style="2" customWidth="1"/>
    <col min="10001" max="10001" width="19.44140625" style="2" customWidth="1"/>
    <col min="10002" max="10002" width="17.109375" style="2" customWidth="1"/>
    <col min="10003" max="10003" width="16.6640625" style="2" customWidth="1"/>
    <col min="10004" max="10240" width="11.44140625" style="2"/>
    <col min="10241" max="10241" width="5.109375" style="2" customWidth="1"/>
    <col min="10242" max="10242" width="8.44140625" style="2" customWidth="1"/>
    <col min="10243" max="10243" width="11.44140625" style="2"/>
    <col min="10244" max="10244" width="54" style="2" customWidth="1"/>
    <col min="10245" max="10245" width="12.6640625" style="2" customWidth="1"/>
    <col min="10246" max="10246" width="12.33203125" style="2" bestFit="1" customWidth="1"/>
    <col min="10247" max="10247" width="8.6640625" style="2" bestFit="1" customWidth="1"/>
    <col min="10248" max="10248" width="9.44140625" style="2" bestFit="1" customWidth="1"/>
    <col min="10249" max="10249" width="11.44140625" style="2"/>
    <col min="10250" max="10250" width="8.6640625" style="2" bestFit="1" customWidth="1"/>
    <col min="10251" max="10251" width="13.33203125" style="2" customWidth="1"/>
    <col min="10252" max="10252" width="12.6640625" style="2" customWidth="1"/>
    <col min="10253" max="10253" width="17.6640625" style="2" customWidth="1"/>
    <col min="10254" max="10254" width="27.44140625" style="2" customWidth="1"/>
    <col min="10255" max="10255" width="26.33203125" style="2" customWidth="1"/>
    <col min="10256" max="10256" width="24.88671875" style="2" customWidth="1"/>
    <col min="10257" max="10257" width="19.44140625" style="2" customWidth="1"/>
    <col min="10258" max="10258" width="17.109375" style="2" customWidth="1"/>
    <col min="10259" max="10259" width="16.6640625" style="2" customWidth="1"/>
    <col min="10260" max="10496" width="11.44140625" style="2"/>
    <col min="10497" max="10497" width="5.109375" style="2" customWidth="1"/>
    <col min="10498" max="10498" width="8.44140625" style="2" customWidth="1"/>
    <col min="10499" max="10499" width="11.44140625" style="2"/>
    <col min="10500" max="10500" width="54" style="2" customWidth="1"/>
    <col min="10501" max="10501" width="12.6640625" style="2" customWidth="1"/>
    <col min="10502" max="10502" width="12.33203125" style="2" bestFit="1" customWidth="1"/>
    <col min="10503" max="10503" width="8.6640625" style="2" bestFit="1" customWidth="1"/>
    <col min="10504" max="10504" width="9.44140625" style="2" bestFit="1" customWidth="1"/>
    <col min="10505" max="10505" width="11.44140625" style="2"/>
    <col min="10506" max="10506" width="8.6640625" style="2" bestFit="1" customWidth="1"/>
    <col min="10507" max="10507" width="13.33203125" style="2" customWidth="1"/>
    <col min="10508" max="10508" width="12.6640625" style="2" customWidth="1"/>
    <col min="10509" max="10509" width="17.6640625" style="2" customWidth="1"/>
    <col min="10510" max="10510" width="27.44140625" style="2" customWidth="1"/>
    <col min="10511" max="10511" width="26.33203125" style="2" customWidth="1"/>
    <col min="10512" max="10512" width="24.88671875" style="2" customWidth="1"/>
    <col min="10513" max="10513" width="19.44140625" style="2" customWidth="1"/>
    <col min="10514" max="10514" width="17.109375" style="2" customWidth="1"/>
    <col min="10515" max="10515" width="16.6640625" style="2" customWidth="1"/>
    <col min="10516" max="10752" width="11.44140625" style="2"/>
    <col min="10753" max="10753" width="5.109375" style="2" customWidth="1"/>
    <col min="10754" max="10754" width="8.44140625" style="2" customWidth="1"/>
    <col min="10755" max="10755" width="11.44140625" style="2"/>
    <col min="10756" max="10756" width="54" style="2" customWidth="1"/>
    <col min="10757" max="10757" width="12.6640625" style="2" customWidth="1"/>
    <col min="10758" max="10758" width="12.33203125" style="2" bestFit="1" customWidth="1"/>
    <col min="10759" max="10759" width="8.6640625" style="2" bestFit="1" customWidth="1"/>
    <col min="10760" max="10760" width="9.44140625" style="2" bestFit="1" customWidth="1"/>
    <col min="10761" max="10761" width="11.44140625" style="2"/>
    <col min="10762" max="10762" width="8.6640625" style="2" bestFit="1" customWidth="1"/>
    <col min="10763" max="10763" width="13.33203125" style="2" customWidth="1"/>
    <col min="10764" max="10764" width="12.6640625" style="2" customWidth="1"/>
    <col min="10765" max="10765" width="17.6640625" style="2" customWidth="1"/>
    <col min="10766" max="10766" width="27.44140625" style="2" customWidth="1"/>
    <col min="10767" max="10767" width="26.33203125" style="2" customWidth="1"/>
    <col min="10768" max="10768" width="24.88671875" style="2" customWidth="1"/>
    <col min="10769" max="10769" width="19.44140625" style="2" customWidth="1"/>
    <col min="10770" max="10770" width="17.109375" style="2" customWidth="1"/>
    <col min="10771" max="10771" width="16.6640625" style="2" customWidth="1"/>
    <col min="10772" max="11008" width="11.44140625" style="2"/>
    <col min="11009" max="11009" width="5.109375" style="2" customWidth="1"/>
    <col min="11010" max="11010" width="8.44140625" style="2" customWidth="1"/>
    <col min="11011" max="11011" width="11.44140625" style="2"/>
    <col min="11012" max="11012" width="54" style="2" customWidth="1"/>
    <col min="11013" max="11013" width="12.6640625" style="2" customWidth="1"/>
    <col min="11014" max="11014" width="12.33203125" style="2" bestFit="1" customWidth="1"/>
    <col min="11015" max="11015" width="8.6640625" style="2" bestFit="1" customWidth="1"/>
    <col min="11016" max="11016" width="9.44140625" style="2" bestFit="1" customWidth="1"/>
    <col min="11017" max="11017" width="11.44140625" style="2"/>
    <col min="11018" max="11018" width="8.6640625" style="2" bestFit="1" customWidth="1"/>
    <col min="11019" max="11019" width="13.33203125" style="2" customWidth="1"/>
    <col min="11020" max="11020" width="12.6640625" style="2" customWidth="1"/>
    <col min="11021" max="11021" width="17.6640625" style="2" customWidth="1"/>
    <col min="11022" max="11022" width="27.44140625" style="2" customWidth="1"/>
    <col min="11023" max="11023" width="26.33203125" style="2" customWidth="1"/>
    <col min="11024" max="11024" width="24.88671875" style="2" customWidth="1"/>
    <col min="11025" max="11025" width="19.44140625" style="2" customWidth="1"/>
    <col min="11026" max="11026" width="17.109375" style="2" customWidth="1"/>
    <col min="11027" max="11027" width="16.6640625" style="2" customWidth="1"/>
    <col min="11028" max="11264" width="11.44140625" style="2"/>
    <col min="11265" max="11265" width="5.109375" style="2" customWidth="1"/>
    <col min="11266" max="11266" width="8.44140625" style="2" customWidth="1"/>
    <col min="11267" max="11267" width="11.44140625" style="2"/>
    <col min="11268" max="11268" width="54" style="2" customWidth="1"/>
    <col min="11269" max="11269" width="12.6640625" style="2" customWidth="1"/>
    <col min="11270" max="11270" width="12.33203125" style="2" bestFit="1" customWidth="1"/>
    <col min="11271" max="11271" width="8.6640625" style="2" bestFit="1" customWidth="1"/>
    <col min="11272" max="11272" width="9.44140625" style="2" bestFit="1" customWidth="1"/>
    <col min="11273" max="11273" width="11.44140625" style="2"/>
    <col min="11274" max="11274" width="8.6640625" style="2" bestFit="1" customWidth="1"/>
    <col min="11275" max="11275" width="13.33203125" style="2" customWidth="1"/>
    <col min="11276" max="11276" width="12.6640625" style="2" customWidth="1"/>
    <col min="11277" max="11277" width="17.6640625" style="2" customWidth="1"/>
    <col min="11278" max="11278" width="27.44140625" style="2" customWidth="1"/>
    <col min="11279" max="11279" width="26.33203125" style="2" customWidth="1"/>
    <col min="11280" max="11280" width="24.88671875" style="2" customWidth="1"/>
    <col min="11281" max="11281" width="19.44140625" style="2" customWidth="1"/>
    <col min="11282" max="11282" width="17.109375" style="2" customWidth="1"/>
    <col min="11283" max="11283" width="16.6640625" style="2" customWidth="1"/>
    <col min="11284" max="11520" width="11.44140625" style="2"/>
    <col min="11521" max="11521" width="5.109375" style="2" customWidth="1"/>
    <col min="11522" max="11522" width="8.44140625" style="2" customWidth="1"/>
    <col min="11523" max="11523" width="11.44140625" style="2"/>
    <col min="11524" max="11524" width="54" style="2" customWidth="1"/>
    <col min="11525" max="11525" width="12.6640625" style="2" customWidth="1"/>
    <col min="11526" max="11526" width="12.33203125" style="2" bestFit="1" customWidth="1"/>
    <col min="11527" max="11527" width="8.6640625" style="2" bestFit="1" customWidth="1"/>
    <col min="11528" max="11528" width="9.44140625" style="2" bestFit="1" customWidth="1"/>
    <col min="11529" max="11529" width="11.44140625" style="2"/>
    <col min="11530" max="11530" width="8.6640625" style="2" bestFit="1" customWidth="1"/>
    <col min="11531" max="11531" width="13.33203125" style="2" customWidth="1"/>
    <col min="11532" max="11532" width="12.6640625" style="2" customWidth="1"/>
    <col min="11533" max="11533" width="17.6640625" style="2" customWidth="1"/>
    <col min="11534" max="11534" width="27.44140625" style="2" customWidth="1"/>
    <col min="11535" max="11535" width="26.33203125" style="2" customWidth="1"/>
    <col min="11536" max="11536" width="24.88671875" style="2" customWidth="1"/>
    <col min="11537" max="11537" width="19.44140625" style="2" customWidth="1"/>
    <col min="11538" max="11538" width="17.109375" style="2" customWidth="1"/>
    <col min="11539" max="11539" width="16.6640625" style="2" customWidth="1"/>
    <col min="11540" max="11776" width="11.44140625" style="2"/>
    <col min="11777" max="11777" width="5.109375" style="2" customWidth="1"/>
    <col min="11778" max="11778" width="8.44140625" style="2" customWidth="1"/>
    <col min="11779" max="11779" width="11.44140625" style="2"/>
    <col min="11780" max="11780" width="54" style="2" customWidth="1"/>
    <col min="11781" max="11781" width="12.6640625" style="2" customWidth="1"/>
    <col min="11782" max="11782" width="12.33203125" style="2" bestFit="1" customWidth="1"/>
    <col min="11783" max="11783" width="8.6640625" style="2" bestFit="1" customWidth="1"/>
    <col min="11784" max="11784" width="9.44140625" style="2" bestFit="1" customWidth="1"/>
    <col min="11785" max="11785" width="11.44140625" style="2"/>
    <col min="11786" max="11786" width="8.6640625" style="2" bestFit="1" customWidth="1"/>
    <col min="11787" max="11787" width="13.33203125" style="2" customWidth="1"/>
    <col min="11788" max="11788" width="12.6640625" style="2" customWidth="1"/>
    <col min="11789" max="11789" width="17.6640625" style="2" customWidth="1"/>
    <col min="11790" max="11790" width="27.44140625" style="2" customWidth="1"/>
    <col min="11791" max="11791" width="26.33203125" style="2" customWidth="1"/>
    <col min="11792" max="11792" width="24.88671875" style="2" customWidth="1"/>
    <col min="11793" max="11793" width="19.44140625" style="2" customWidth="1"/>
    <col min="11794" max="11794" width="17.109375" style="2" customWidth="1"/>
    <col min="11795" max="11795" width="16.6640625" style="2" customWidth="1"/>
    <col min="11796" max="12032" width="11.44140625" style="2"/>
    <col min="12033" max="12033" width="5.109375" style="2" customWidth="1"/>
    <col min="12034" max="12034" width="8.44140625" style="2" customWidth="1"/>
    <col min="12035" max="12035" width="11.44140625" style="2"/>
    <col min="12036" max="12036" width="54" style="2" customWidth="1"/>
    <col min="12037" max="12037" width="12.6640625" style="2" customWidth="1"/>
    <col min="12038" max="12038" width="12.33203125" style="2" bestFit="1" customWidth="1"/>
    <col min="12039" max="12039" width="8.6640625" style="2" bestFit="1" customWidth="1"/>
    <col min="12040" max="12040" width="9.44140625" style="2" bestFit="1" customWidth="1"/>
    <col min="12041" max="12041" width="11.44140625" style="2"/>
    <col min="12042" max="12042" width="8.6640625" style="2" bestFit="1" customWidth="1"/>
    <col min="12043" max="12043" width="13.33203125" style="2" customWidth="1"/>
    <col min="12044" max="12044" width="12.6640625" style="2" customWidth="1"/>
    <col min="12045" max="12045" width="17.6640625" style="2" customWidth="1"/>
    <col min="12046" max="12046" width="27.44140625" style="2" customWidth="1"/>
    <col min="12047" max="12047" width="26.33203125" style="2" customWidth="1"/>
    <col min="12048" max="12048" width="24.88671875" style="2" customWidth="1"/>
    <col min="12049" max="12049" width="19.44140625" style="2" customWidth="1"/>
    <col min="12050" max="12050" width="17.109375" style="2" customWidth="1"/>
    <col min="12051" max="12051" width="16.6640625" style="2" customWidth="1"/>
    <col min="12052" max="12288" width="11.44140625" style="2"/>
    <col min="12289" max="12289" width="5.109375" style="2" customWidth="1"/>
    <col min="12290" max="12290" width="8.44140625" style="2" customWidth="1"/>
    <col min="12291" max="12291" width="11.44140625" style="2"/>
    <col min="12292" max="12292" width="54" style="2" customWidth="1"/>
    <col min="12293" max="12293" width="12.6640625" style="2" customWidth="1"/>
    <col min="12294" max="12294" width="12.33203125" style="2" bestFit="1" customWidth="1"/>
    <col min="12295" max="12295" width="8.6640625" style="2" bestFit="1" customWidth="1"/>
    <col min="12296" max="12296" width="9.44140625" style="2" bestFit="1" customWidth="1"/>
    <col min="12297" max="12297" width="11.44140625" style="2"/>
    <col min="12298" max="12298" width="8.6640625" style="2" bestFit="1" customWidth="1"/>
    <col min="12299" max="12299" width="13.33203125" style="2" customWidth="1"/>
    <col min="12300" max="12300" width="12.6640625" style="2" customWidth="1"/>
    <col min="12301" max="12301" width="17.6640625" style="2" customWidth="1"/>
    <col min="12302" max="12302" width="27.44140625" style="2" customWidth="1"/>
    <col min="12303" max="12303" width="26.33203125" style="2" customWidth="1"/>
    <col min="12304" max="12304" width="24.88671875" style="2" customWidth="1"/>
    <col min="12305" max="12305" width="19.44140625" style="2" customWidth="1"/>
    <col min="12306" max="12306" width="17.109375" style="2" customWidth="1"/>
    <col min="12307" max="12307" width="16.6640625" style="2" customWidth="1"/>
    <col min="12308" max="12544" width="11.44140625" style="2"/>
    <col min="12545" max="12545" width="5.109375" style="2" customWidth="1"/>
    <col min="12546" max="12546" width="8.44140625" style="2" customWidth="1"/>
    <col min="12547" max="12547" width="11.44140625" style="2"/>
    <col min="12548" max="12548" width="54" style="2" customWidth="1"/>
    <col min="12549" max="12549" width="12.6640625" style="2" customWidth="1"/>
    <col min="12550" max="12550" width="12.33203125" style="2" bestFit="1" customWidth="1"/>
    <col min="12551" max="12551" width="8.6640625" style="2" bestFit="1" customWidth="1"/>
    <col min="12552" max="12552" width="9.44140625" style="2" bestFit="1" customWidth="1"/>
    <col min="12553" max="12553" width="11.44140625" style="2"/>
    <col min="12554" max="12554" width="8.6640625" style="2" bestFit="1" customWidth="1"/>
    <col min="12555" max="12555" width="13.33203125" style="2" customWidth="1"/>
    <col min="12556" max="12556" width="12.6640625" style="2" customWidth="1"/>
    <col min="12557" max="12557" width="17.6640625" style="2" customWidth="1"/>
    <col min="12558" max="12558" width="27.44140625" style="2" customWidth="1"/>
    <col min="12559" max="12559" width="26.33203125" style="2" customWidth="1"/>
    <col min="12560" max="12560" width="24.88671875" style="2" customWidth="1"/>
    <col min="12561" max="12561" width="19.44140625" style="2" customWidth="1"/>
    <col min="12562" max="12562" width="17.109375" style="2" customWidth="1"/>
    <col min="12563" max="12563" width="16.6640625" style="2" customWidth="1"/>
    <col min="12564" max="12800" width="11.44140625" style="2"/>
    <col min="12801" max="12801" width="5.109375" style="2" customWidth="1"/>
    <col min="12802" max="12802" width="8.44140625" style="2" customWidth="1"/>
    <col min="12803" max="12803" width="11.44140625" style="2"/>
    <col min="12804" max="12804" width="54" style="2" customWidth="1"/>
    <col min="12805" max="12805" width="12.6640625" style="2" customWidth="1"/>
    <col min="12806" max="12806" width="12.33203125" style="2" bestFit="1" customWidth="1"/>
    <col min="12807" max="12807" width="8.6640625" style="2" bestFit="1" customWidth="1"/>
    <col min="12808" max="12808" width="9.44140625" style="2" bestFit="1" customWidth="1"/>
    <col min="12809" max="12809" width="11.44140625" style="2"/>
    <col min="12810" max="12810" width="8.6640625" style="2" bestFit="1" customWidth="1"/>
    <col min="12811" max="12811" width="13.33203125" style="2" customWidth="1"/>
    <col min="12812" max="12812" width="12.6640625" style="2" customWidth="1"/>
    <col min="12813" max="12813" width="17.6640625" style="2" customWidth="1"/>
    <col min="12814" max="12814" width="27.44140625" style="2" customWidth="1"/>
    <col min="12815" max="12815" width="26.33203125" style="2" customWidth="1"/>
    <col min="12816" max="12816" width="24.88671875" style="2" customWidth="1"/>
    <col min="12817" max="12817" width="19.44140625" style="2" customWidth="1"/>
    <col min="12818" max="12818" width="17.109375" style="2" customWidth="1"/>
    <col min="12819" max="12819" width="16.6640625" style="2" customWidth="1"/>
    <col min="12820" max="13056" width="11.44140625" style="2"/>
    <col min="13057" max="13057" width="5.109375" style="2" customWidth="1"/>
    <col min="13058" max="13058" width="8.44140625" style="2" customWidth="1"/>
    <col min="13059" max="13059" width="11.44140625" style="2"/>
    <col min="13060" max="13060" width="54" style="2" customWidth="1"/>
    <col min="13061" max="13061" width="12.6640625" style="2" customWidth="1"/>
    <col min="13062" max="13062" width="12.33203125" style="2" bestFit="1" customWidth="1"/>
    <col min="13063" max="13063" width="8.6640625" style="2" bestFit="1" customWidth="1"/>
    <col min="13064" max="13064" width="9.44140625" style="2" bestFit="1" customWidth="1"/>
    <col min="13065" max="13065" width="11.44140625" style="2"/>
    <col min="13066" max="13066" width="8.6640625" style="2" bestFit="1" customWidth="1"/>
    <col min="13067" max="13067" width="13.33203125" style="2" customWidth="1"/>
    <col min="13068" max="13068" width="12.6640625" style="2" customWidth="1"/>
    <col min="13069" max="13069" width="17.6640625" style="2" customWidth="1"/>
    <col min="13070" max="13070" width="27.44140625" style="2" customWidth="1"/>
    <col min="13071" max="13071" width="26.33203125" style="2" customWidth="1"/>
    <col min="13072" max="13072" width="24.88671875" style="2" customWidth="1"/>
    <col min="13073" max="13073" width="19.44140625" style="2" customWidth="1"/>
    <col min="13074" max="13074" width="17.109375" style="2" customWidth="1"/>
    <col min="13075" max="13075" width="16.6640625" style="2" customWidth="1"/>
    <col min="13076" max="13312" width="11.44140625" style="2"/>
    <col min="13313" max="13313" width="5.109375" style="2" customWidth="1"/>
    <col min="13314" max="13314" width="8.44140625" style="2" customWidth="1"/>
    <col min="13315" max="13315" width="11.44140625" style="2"/>
    <col min="13316" max="13316" width="54" style="2" customWidth="1"/>
    <col min="13317" max="13317" width="12.6640625" style="2" customWidth="1"/>
    <col min="13318" max="13318" width="12.33203125" style="2" bestFit="1" customWidth="1"/>
    <col min="13319" max="13319" width="8.6640625" style="2" bestFit="1" customWidth="1"/>
    <col min="13320" max="13320" width="9.44140625" style="2" bestFit="1" customWidth="1"/>
    <col min="13321" max="13321" width="11.44140625" style="2"/>
    <col min="13322" max="13322" width="8.6640625" style="2" bestFit="1" customWidth="1"/>
    <col min="13323" max="13323" width="13.33203125" style="2" customWidth="1"/>
    <col min="13324" max="13324" width="12.6640625" style="2" customWidth="1"/>
    <col min="13325" max="13325" width="17.6640625" style="2" customWidth="1"/>
    <col min="13326" max="13326" width="27.44140625" style="2" customWidth="1"/>
    <col min="13327" max="13327" width="26.33203125" style="2" customWidth="1"/>
    <col min="13328" max="13328" width="24.88671875" style="2" customWidth="1"/>
    <col min="13329" max="13329" width="19.44140625" style="2" customWidth="1"/>
    <col min="13330" max="13330" width="17.109375" style="2" customWidth="1"/>
    <col min="13331" max="13331" width="16.6640625" style="2" customWidth="1"/>
    <col min="13332" max="13568" width="11.44140625" style="2"/>
    <col min="13569" max="13569" width="5.109375" style="2" customWidth="1"/>
    <col min="13570" max="13570" width="8.44140625" style="2" customWidth="1"/>
    <col min="13571" max="13571" width="11.44140625" style="2"/>
    <col min="13572" max="13572" width="54" style="2" customWidth="1"/>
    <col min="13573" max="13573" width="12.6640625" style="2" customWidth="1"/>
    <col min="13574" max="13574" width="12.33203125" style="2" bestFit="1" customWidth="1"/>
    <col min="13575" max="13575" width="8.6640625" style="2" bestFit="1" customWidth="1"/>
    <col min="13576" max="13576" width="9.44140625" style="2" bestFit="1" customWidth="1"/>
    <col min="13577" max="13577" width="11.44140625" style="2"/>
    <col min="13578" max="13578" width="8.6640625" style="2" bestFit="1" customWidth="1"/>
    <col min="13579" max="13579" width="13.33203125" style="2" customWidth="1"/>
    <col min="13580" max="13580" width="12.6640625" style="2" customWidth="1"/>
    <col min="13581" max="13581" width="17.6640625" style="2" customWidth="1"/>
    <col min="13582" max="13582" width="27.44140625" style="2" customWidth="1"/>
    <col min="13583" max="13583" width="26.33203125" style="2" customWidth="1"/>
    <col min="13584" max="13584" width="24.88671875" style="2" customWidth="1"/>
    <col min="13585" max="13585" width="19.44140625" style="2" customWidth="1"/>
    <col min="13586" max="13586" width="17.109375" style="2" customWidth="1"/>
    <col min="13587" max="13587" width="16.6640625" style="2" customWidth="1"/>
    <col min="13588" max="13824" width="11.44140625" style="2"/>
    <col min="13825" max="13825" width="5.109375" style="2" customWidth="1"/>
    <col min="13826" max="13826" width="8.44140625" style="2" customWidth="1"/>
    <col min="13827" max="13827" width="11.44140625" style="2"/>
    <col min="13828" max="13828" width="54" style="2" customWidth="1"/>
    <col min="13829" max="13829" width="12.6640625" style="2" customWidth="1"/>
    <col min="13830" max="13830" width="12.33203125" style="2" bestFit="1" customWidth="1"/>
    <col min="13831" max="13831" width="8.6640625" style="2" bestFit="1" customWidth="1"/>
    <col min="13832" max="13832" width="9.44140625" style="2" bestFit="1" customWidth="1"/>
    <col min="13833" max="13833" width="11.44140625" style="2"/>
    <col min="13834" max="13834" width="8.6640625" style="2" bestFit="1" customWidth="1"/>
    <col min="13835" max="13835" width="13.33203125" style="2" customWidth="1"/>
    <col min="13836" max="13836" width="12.6640625" style="2" customWidth="1"/>
    <col min="13837" max="13837" width="17.6640625" style="2" customWidth="1"/>
    <col min="13838" max="13838" width="27.44140625" style="2" customWidth="1"/>
    <col min="13839" max="13839" width="26.33203125" style="2" customWidth="1"/>
    <col min="13840" max="13840" width="24.88671875" style="2" customWidth="1"/>
    <col min="13841" max="13841" width="19.44140625" style="2" customWidth="1"/>
    <col min="13842" max="13842" width="17.109375" style="2" customWidth="1"/>
    <col min="13843" max="13843" width="16.6640625" style="2" customWidth="1"/>
    <col min="13844" max="14080" width="11.44140625" style="2"/>
    <col min="14081" max="14081" width="5.109375" style="2" customWidth="1"/>
    <col min="14082" max="14082" width="8.44140625" style="2" customWidth="1"/>
    <col min="14083" max="14083" width="11.44140625" style="2"/>
    <col min="14084" max="14084" width="54" style="2" customWidth="1"/>
    <col min="14085" max="14085" width="12.6640625" style="2" customWidth="1"/>
    <col min="14086" max="14086" width="12.33203125" style="2" bestFit="1" customWidth="1"/>
    <col min="14087" max="14087" width="8.6640625" style="2" bestFit="1" customWidth="1"/>
    <col min="14088" max="14088" width="9.44140625" style="2" bestFit="1" customWidth="1"/>
    <col min="14089" max="14089" width="11.44140625" style="2"/>
    <col min="14090" max="14090" width="8.6640625" style="2" bestFit="1" customWidth="1"/>
    <col min="14091" max="14091" width="13.33203125" style="2" customWidth="1"/>
    <col min="14092" max="14092" width="12.6640625" style="2" customWidth="1"/>
    <col min="14093" max="14093" width="17.6640625" style="2" customWidth="1"/>
    <col min="14094" max="14094" width="27.44140625" style="2" customWidth="1"/>
    <col min="14095" max="14095" width="26.33203125" style="2" customWidth="1"/>
    <col min="14096" max="14096" width="24.88671875" style="2" customWidth="1"/>
    <col min="14097" max="14097" width="19.44140625" style="2" customWidth="1"/>
    <col min="14098" max="14098" width="17.109375" style="2" customWidth="1"/>
    <col min="14099" max="14099" width="16.6640625" style="2" customWidth="1"/>
    <col min="14100" max="14336" width="11.44140625" style="2"/>
    <col min="14337" max="14337" width="5.109375" style="2" customWidth="1"/>
    <col min="14338" max="14338" width="8.44140625" style="2" customWidth="1"/>
    <col min="14339" max="14339" width="11.44140625" style="2"/>
    <col min="14340" max="14340" width="54" style="2" customWidth="1"/>
    <col min="14341" max="14341" width="12.6640625" style="2" customWidth="1"/>
    <col min="14342" max="14342" width="12.33203125" style="2" bestFit="1" customWidth="1"/>
    <col min="14343" max="14343" width="8.6640625" style="2" bestFit="1" customWidth="1"/>
    <col min="14344" max="14344" width="9.44140625" style="2" bestFit="1" customWidth="1"/>
    <col min="14345" max="14345" width="11.44140625" style="2"/>
    <col min="14346" max="14346" width="8.6640625" style="2" bestFit="1" customWidth="1"/>
    <col min="14347" max="14347" width="13.33203125" style="2" customWidth="1"/>
    <col min="14348" max="14348" width="12.6640625" style="2" customWidth="1"/>
    <col min="14349" max="14349" width="17.6640625" style="2" customWidth="1"/>
    <col min="14350" max="14350" width="27.44140625" style="2" customWidth="1"/>
    <col min="14351" max="14351" width="26.33203125" style="2" customWidth="1"/>
    <col min="14352" max="14352" width="24.88671875" style="2" customWidth="1"/>
    <col min="14353" max="14353" width="19.44140625" style="2" customWidth="1"/>
    <col min="14354" max="14354" width="17.109375" style="2" customWidth="1"/>
    <col min="14355" max="14355" width="16.6640625" style="2" customWidth="1"/>
    <col min="14356" max="14592" width="11.44140625" style="2"/>
    <col min="14593" max="14593" width="5.109375" style="2" customWidth="1"/>
    <col min="14594" max="14594" width="8.44140625" style="2" customWidth="1"/>
    <col min="14595" max="14595" width="11.44140625" style="2"/>
    <col min="14596" max="14596" width="54" style="2" customWidth="1"/>
    <col min="14597" max="14597" width="12.6640625" style="2" customWidth="1"/>
    <col min="14598" max="14598" width="12.33203125" style="2" bestFit="1" customWidth="1"/>
    <col min="14599" max="14599" width="8.6640625" style="2" bestFit="1" customWidth="1"/>
    <col min="14600" max="14600" width="9.44140625" style="2" bestFit="1" customWidth="1"/>
    <col min="14601" max="14601" width="11.44140625" style="2"/>
    <col min="14602" max="14602" width="8.6640625" style="2" bestFit="1" customWidth="1"/>
    <col min="14603" max="14603" width="13.33203125" style="2" customWidth="1"/>
    <col min="14604" max="14604" width="12.6640625" style="2" customWidth="1"/>
    <col min="14605" max="14605" width="17.6640625" style="2" customWidth="1"/>
    <col min="14606" max="14606" width="27.44140625" style="2" customWidth="1"/>
    <col min="14607" max="14607" width="26.33203125" style="2" customWidth="1"/>
    <col min="14608" max="14608" width="24.88671875" style="2" customWidth="1"/>
    <col min="14609" max="14609" width="19.44140625" style="2" customWidth="1"/>
    <col min="14610" max="14610" width="17.109375" style="2" customWidth="1"/>
    <col min="14611" max="14611" width="16.6640625" style="2" customWidth="1"/>
    <col min="14612" max="14848" width="11.44140625" style="2"/>
    <col min="14849" max="14849" width="5.109375" style="2" customWidth="1"/>
    <col min="14850" max="14850" width="8.44140625" style="2" customWidth="1"/>
    <col min="14851" max="14851" width="11.44140625" style="2"/>
    <col min="14852" max="14852" width="54" style="2" customWidth="1"/>
    <col min="14853" max="14853" width="12.6640625" style="2" customWidth="1"/>
    <col min="14854" max="14854" width="12.33203125" style="2" bestFit="1" customWidth="1"/>
    <col min="14855" max="14855" width="8.6640625" style="2" bestFit="1" customWidth="1"/>
    <col min="14856" max="14856" width="9.44140625" style="2" bestFit="1" customWidth="1"/>
    <col min="14857" max="14857" width="11.44140625" style="2"/>
    <col min="14858" max="14858" width="8.6640625" style="2" bestFit="1" customWidth="1"/>
    <col min="14859" max="14859" width="13.33203125" style="2" customWidth="1"/>
    <col min="14860" max="14860" width="12.6640625" style="2" customWidth="1"/>
    <col min="14861" max="14861" width="17.6640625" style="2" customWidth="1"/>
    <col min="14862" max="14862" width="27.44140625" style="2" customWidth="1"/>
    <col min="14863" max="14863" width="26.33203125" style="2" customWidth="1"/>
    <col min="14864" max="14864" width="24.88671875" style="2" customWidth="1"/>
    <col min="14865" max="14865" width="19.44140625" style="2" customWidth="1"/>
    <col min="14866" max="14866" width="17.109375" style="2" customWidth="1"/>
    <col min="14867" max="14867" width="16.6640625" style="2" customWidth="1"/>
    <col min="14868" max="15104" width="11.44140625" style="2"/>
    <col min="15105" max="15105" width="5.109375" style="2" customWidth="1"/>
    <col min="15106" max="15106" width="8.44140625" style="2" customWidth="1"/>
    <col min="15107" max="15107" width="11.44140625" style="2"/>
    <col min="15108" max="15108" width="54" style="2" customWidth="1"/>
    <col min="15109" max="15109" width="12.6640625" style="2" customWidth="1"/>
    <col min="15110" max="15110" width="12.33203125" style="2" bestFit="1" customWidth="1"/>
    <col min="15111" max="15111" width="8.6640625" style="2" bestFit="1" customWidth="1"/>
    <col min="15112" max="15112" width="9.44140625" style="2" bestFit="1" customWidth="1"/>
    <col min="15113" max="15113" width="11.44140625" style="2"/>
    <col min="15114" max="15114" width="8.6640625" style="2" bestFit="1" customWidth="1"/>
    <col min="15115" max="15115" width="13.33203125" style="2" customWidth="1"/>
    <col min="15116" max="15116" width="12.6640625" style="2" customWidth="1"/>
    <col min="15117" max="15117" width="17.6640625" style="2" customWidth="1"/>
    <col min="15118" max="15118" width="27.44140625" style="2" customWidth="1"/>
    <col min="15119" max="15119" width="26.33203125" style="2" customWidth="1"/>
    <col min="15120" max="15120" width="24.88671875" style="2" customWidth="1"/>
    <col min="15121" max="15121" width="19.44140625" style="2" customWidth="1"/>
    <col min="15122" max="15122" width="17.109375" style="2" customWidth="1"/>
    <col min="15123" max="15123" width="16.6640625" style="2" customWidth="1"/>
    <col min="15124" max="15360" width="11.44140625" style="2"/>
    <col min="15361" max="15361" width="5.109375" style="2" customWidth="1"/>
    <col min="15362" max="15362" width="8.44140625" style="2" customWidth="1"/>
    <col min="15363" max="15363" width="11.44140625" style="2"/>
    <col min="15364" max="15364" width="54" style="2" customWidth="1"/>
    <col min="15365" max="15365" width="12.6640625" style="2" customWidth="1"/>
    <col min="15366" max="15366" width="12.33203125" style="2" bestFit="1" customWidth="1"/>
    <col min="15367" max="15367" width="8.6640625" style="2" bestFit="1" customWidth="1"/>
    <col min="15368" max="15368" width="9.44140625" style="2" bestFit="1" customWidth="1"/>
    <col min="15369" max="15369" width="11.44140625" style="2"/>
    <col min="15370" max="15370" width="8.6640625" style="2" bestFit="1" customWidth="1"/>
    <col min="15371" max="15371" width="13.33203125" style="2" customWidth="1"/>
    <col min="15372" max="15372" width="12.6640625" style="2" customWidth="1"/>
    <col min="15373" max="15373" width="17.6640625" style="2" customWidth="1"/>
    <col min="15374" max="15374" width="27.44140625" style="2" customWidth="1"/>
    <col min="15375" max="15375" width="26.33203125" style="2" customWidth="1"/>
    <col min="15376" max="15376" width="24.88671875" style="2" customWidth="1"/>
    <col min="15377" max="15377" width="19.44140625" style="2" customWidth="1"/>
    <col min="15378" max="15378" width="17.109375" style="2" customWidth="1"/>
    <col min="15379" max="15379" width="16.6640625" style="2" customWidth="1"/>
    <col min="15380" max="15616" width="11.44140625" style="2"/>
    <col min="15617" max="15617" width="5.109375" style="2" customWidth="1"/>
    <col min="15618" max="15618" width="8.44140625" style="2" customWidth="1"/>
    <col min="15619" max="15619" width="11.44140625" style="2"/>
    <col min="15620" max="15620" width="54" style="2" customWidth="1"/>
    <col min="15621" max="15621" width="12.6640625" style="2" customWidth="1"/>
    <col min="15622" max="15622" width="12.33203125" style="2" bestFit="1" customWidth="1"/>
    <col min="15623" max="15623" width="8.6640625" style="2" bestFit="1" customWidth="1"/>
    <col min="15624" max="15624" width="9.44140625" style="2" bestFit="1" customWidth="1"/>
    <col min="15625" max="15625" width="11.44140625" style="2"/>
    <col min="15626" max="15626" width="8.6640625" style="2" bestFit="1" customWidth="1"/>
    <col min="15627" max="15627" width="13.33203125" style="2" customWidth="1"/>
    <col min="15628" max="15628" width="12.6640625" style="2" customWidth="1"/>
    <col min="15629" max="15629" width="17.6640625" style="2" customWidth="1"/>
    <col min="15630" max="15630" width="27.44140625" style="2" customWidth="1"/>
    <col min="15631" max="15631" width="26.33203125" style="2" customWidth="1"/>
    <col min="15632" max="15632" width="24.88671875" style="2" customWidth="1"/>
    <col min="15633" max="15633" width="19.44140625" style="2" customWidth="1"/>
    <col min="15634" max="15634" width="17.109375" style="2" customWidth="1"/>
    <col min="15635" max="15635" width="16.6640625" style="2" customWidth="1"/>
    <col min="15636" max="15872" width="11.44140625" style="2"/>
    <col min="15873" max="15873" width="5.109375" style="2" customWidth="1"/>
    <col min="15874" max="15874" width="8.44140625" style="2" customWidth="1"/>
    <col min="15875" max="15875" width="11.44140625" style="2"/>
    <col min="15876" max="15876" width="54" style="2" customWidth="1"/>
    <col min="15877" max="15877" width="12.6640625" style="2" customWidth="1"/>
    <col min="15878" max="15878" width="12.33203125" style="2" bestFit="1" customWidth="1"/>
    <col min="15879" max="15879" width="8.6640625" style="2" bestFit="1" customWidth="1"/>
    <col min="15880" max="15880" width="9.44140625" style="2" bestFit="1" customWidth="1"/>
    <col min="15881" max="15881" width="11.44140625" style="2"/>
    <col min="15882" max="15882" width="8.6640625" style="2" bestFit="1" customWidth="1"/>
    <col min="15883" max="15883" width="13.33203125" style="2" customWidth="1"/>
    <col min="15884" max="15884" width="12.6640625" style="2" customWidth="1"/>
    <col min="15885" max="15885" width="17.6640625" style="2" customWidth="1"/>
    <col min="15886" max="15886" width="27.44140625" style="2" customWidth="1"/>
    <col min="15887" max="15887" width="26.33203125" style="2" customWidth="1"/>
    <col min="15888" max="15888" width="24.88671875" style="2" customWidth="1"/>
    <col min="15889" max="15889" width="19.44140625" style="2" customWidth="1"/>
    <col min="15890" max="15890" width="17.109375" style="2" customWidth="1"/>
    <col min="15891" max="15891" width="16.6640625" style="2" customWidth="1"/>
    <col min="15892" max="16128" width="11.44140625" style="2"/>
    <col min="16129" max="16129" width="5.109375" style="2" customWidth="1"/>
    <col min="16130" max="16130" width="8.44140625" style="2" customWidth="1"/>
    <col min="16131" max="16131" width="11.44140625" style="2"/>
    <col min="16132" max="16132" width="54" style="2" customWidth="1"/>
    <col min="16133" max="16133" width="12.6640625" style="2" customWidth="1"/>
    <col min="16134" max="16134" width="12.33203125" style="2" bestFit="1" customWidth="1"/>
    <col min="16135" max="16135" width="8.6640625" style="2" bestFit="1" customWidth="1"/>
    <col min="16136" max="16136" width="9.44140625" style="2" bestFit="1" customWidth="1"/>
    <col min="16137" max="16137" width="11.44140625" style="2"/>
    <col min="16138" max="16138" width="8.6640625" style="2" bestFit="1" customWidth="1"/>
    <col min="16139" max="16139" width="13.33203125" style="2" customWidth="1"/>
    <col min="16140" max="16140" width="12.6640625" style="2" customWidth="1"/>
    <col min="16141" max="16141" width="17.6640625" style="2" customWidth="1"/>
    <col min="16142" max="16142" width="27.44140625" style="2" customWidth="1"/>
    <col min="16143" max="16143" width="26.33203125" style="2" customWidth="1"/>
    <col min="16144" max="16144" width="24.88671875" style="2" customWidth="1"/>
    <col min="16145" max="16145" width="19.44140625" style="2" customWidth="1"/>
    <col min="16146" max="16146" width="17.109375" style="2" customWidth="1"/>
    <col min="16147" max="16147" width="16.6640625" style="2" customWidth="1"/>
    <col min="16148" max="16384" width="11.44140625" style="2"/>
  </cols>
  <sheetData>
    <row r="2" spans="2:20" ht="31.5" customHeight="1" x14ac:dyDescent="0.3">
      <c r="B2" s="498" t="s">
        <v>92</v>
      </c>
      <c r="C2" s="499"/>
      <c r="D2" s="499"/>
      <c r="E2" s="499"/>
      <c r="F2" s="499"/>
      <c r="G2" s="499"/>
      <c r="H2" s="499"/>
      <c r="I2" s="499"/>
      <c r="J2" s="500"/>
      <c r="T2" s="2"/>
    </row>
    <row r="3" spans="2:20" ht="15.6" x14ac:dyDescent="0.3">
      <c r="B3" s="64"/>
      <c r="C3" s="65"/>
      <c r="D3" s="65"/>
      <c r="E3" s="66"/>
      <c r="F3" s="65"/>
      <c r="G3" s="65"/>
      <c r="J3" s="142"/>
      <c r="T3" s="2"/>
    </row>
    <row r="4" spans="2:20" ht="15.75" customHeight="1" x14ac:dyDescent="0.3">
      <c r="B4" s="501" t="s">
        <v>171</v>
      </c>
      <c r="C4" s="502"/>
      <c r="D4" s="502"/>
      <c r="E4" s="502"/>
      <c r="F4" s="502"/>
      <c r="G4" s="502"/>
      <c r="H4" s="502"/>
      <c r="I4" s="502"/>
      <c r="J4" s="503"/>
      <c r="T4" s="2"/>
    </row>
    <row r="5" spans="2:20" ht="13.8" x14ac:dyDescent="0.3">
      <c r="B5" s="68"/>
      <c r="C5" s="69"/>
      <c r="D5" s="70"/>
      <c r="E5" s="27"/>
      <c r="F5" s="71"/>
      <c r="G5" s="71"/>
      <c r="J5" s="142"/>
      <c r="T5" s="2"/>
    </row>
    <row r="6" spans="2:20" ht="15.75" customHeight="1" x14ac:dyDescent="0.3">
      <c r="B6" s="501" t="s">
        <v>191</v>
      </c>
      <c r="C6" s="502"/>
      <c r="D6" s="502"/>
      <c r="E6" s="502"/>
      <c r="F6" s="502"/>
      <c r="G6" s="502"/>
      <c r="H6" s="502"/>
      <c r="I6" s="502"/>
      <c r="J6" s="503"/>
      <c r="T6" s="2"/>
    </row>
    <row r="7" spans="2:20" x14ac:dyDescent="0.3">
      <c r="B7" s="73"/>
      <c r="C7" s="74"/>
      <c r="D7" s="74"/>
      <c r="E7" s="75"/>
      <c r="F7" s="143"/>
      <c r="G7" s="143"/>
      <c r="H7" s="76" t="s">
        <v>157</v>
      </c>
      <c r="I7" s="545">
        <v>43741</v>
      </c>
      <c r="J7" s="546"/>
      <c r="T7" s="2"/>
    </row>
    <row r="8" spans="2:20" ht="6" customHeight="1" x14ac:dyDescent="0.3"/>
    <row r="9" spans="2:20" ht="27.75" customHeight="1" x14ac:dyDescent="0.3">
      <c r="B9" s="549" t="s">
        <v>114</v>
      </c>
      <c r="C9" s="551" t="s">
        <v>195</v>
      </c>
      <c r="D9" s="552"/>
      <c r="E9" s="552"/>
      <c r="F9" s="553"/>
      <c r="G9" s="557" t="s">
        <v>115</v>
      </c>
      <c r="H9" s="558"/>
      <c r="I9" s="558"/>
      <c r="J9" s="559"/>
    </row>
    <row r="10" spans="2:20" ht="29.25" customHeight="1" x14ac:dyDescent="0.3">
      <c r="B10" s="550"/>
      <c r="C10" s="554"/>
      <c r="D10" s="555"/>
      <c r="E10" s="555"/>
      <c r="F10" s="556"/>
      <c r="G10" s="560"/>
      <c r="H10" s="561"/>
      <c r="I10" s="561"/>
      <c r="J10" s="562"/>
    </row>
    <row r="11" spans="2:20" ht="15" customHeight="1" x14ac:dyDescent="0.3">
      <c r="B11" s="563" t="s">
        <v>116</v>
      </c>
      <c r="C11" s="564"/>
      <c r="D11" s="565" t="s">
        <v>192</v>
      </c>
      <c r="E11" s="565"/>
      <c r="F11" s="566"/>
      <c r="G11" s="569" t="s">
        <v>92</v>
      </c>
      <c r="H11" s="570"/>
      <c r="I11" s="570"/>
      <c r="J11" s="571"/>
    </row>
    <row r="12" spans="2:20" x14ac:dyDescent="0.3">
      <c r="B12" s="144"/>
      <c r="C12" s="143"/>
      <c r="D12" s="567"/>
      <c r="E12" s="567"/>
      <c r="F12" s="568"/>
      <c r="G12" s="572"/>
      <c r="H12" s="573"/>
      <c r="I12" s="573"/>
      <c r="J12" s="574"/>
    </row>
    <row r="14" spans="2:20" ht="15.6" x14ac:dyDescent="0.3">
      <c r="B14" s="502" t="s">
        <v>193</v>
      </c>
      <c r="C14" s="502"/>
      <c r="D14" s="502"/>
      <c r="E14" s="502"/>
      <c r="F14" s="502"/>
      <c r="G14" s="502"/>
      <c r="H14" s="502"/>
      <c r="I14" s="502"/>
      <c r="J14" s="502"/>
    </row>
    <row r="15" spans="2:20" ht="8.25" customHeight="1" x14ac:dyDescent="0.3"/>
    <row r="16" spans="2:20" ht="15" customHeight="1" x14ac:dyDescent="0.3">
      <c r="B16" s="145" t="s">
        <v>117</v>
      </c>
      <c r="C16" s="578" t="s">
        <v>118</v>
      </c>
      <c r="D16" s="579"/>
      <c r="E16" s="579"/>
      <c r="F16" s="579"/>
      <c r="G16" s="579"/>
      <c r="H16" s="580"/>
      <c r="I16" s="146" t="s">
        <v>119</v>
      </c>
      <c r="J16" s="146" t="s">
        <v>99</v>
      </c>
      <c r="P16" s="1"/>
      <c r="T16" s="2"/>
    </row>
    <row r="17" spans="2:20" ht="15" customHeight="1" x14ac:dyDescent="0.3">
      <c r="B17" s="40" t="str">
        <f>+'Item de Pago'!B10</f>
        <v>1</v>
      </c>
      <c r="C17" s="575" t="str">
        <f>IF($B17=0,"",VLOOKUP($B17,'Item de Pago'!B1:F36,2,FALSE))</f>
        <v>CONSTRUCCIÓN DE PLACAS HUELLAS</v>
      </c>
      <c r="D17" s="576"/>
      <c r="E17" s="576"/>
      <c r="F17" s="576"/>
      <c r="G17" s="576"/>
      <c r="H17" s="576"/>
      <c r="I17" s="576"/>
      <c r="J17" s="577"/>
      <c r="P17" s="1"/>
      <c r="T17" s="2"/>
    </row>
    <row r="18" spans="2:20" x14ac:dyDescent="0.3">
      <c r="B18" s="124">
        <v>1.1000000000000001</v>
      </c>
      <c r="C18" s="581" t="str">
        <f>IF($B18=0,"",VLOOKUP($B18,'Item de Pago'!B2:F37,2,FALSE))</f>
        <v>LOCALIZACIÓN Y REPLANTEO</v>
      </c>
      <c r="D18" s="582"/>
      <c r="E18" s="582"/>
      <c r="F18" s="582"/>
      <c r="G18" s="582"/>
      <c r="H18" s="583"/>
      <c r="I18" s="39" t="str">
        <f>IF($B18=0,"",VLOOKUP($B18,'Item de Pago'!B2:F37,4,FALSE))</f>
        <v>M2</v>
      </c>
      <c r="J18" s="147">
        <f>+J52</f>
        <v>129</v>
      </c>
      <c r="P18" s="1"/>
      <c r="T18" s="2"/>
    </row>
    <row r="19" spans="2:20" ht="15" customHeight="1" x14ac:dyDescent="0.3">
      <c r="B19" s="124">
        <v>1.2</v>
      </c>
      <c r="C19" s="581" t="str">
        <f>IF($B19=0,"",VLOOKUP($B19,'Item de Pago'!B3:F38,2,FALSE))</f>
        <v>EXCAVACIÓN MANUAL PARA ESTRUCTURAS - MATERIAL COMÚN - 0.0 A 2.0 M</v>
      </c>
      <c r="D19" s="582"/>
      <c r="E19" s="582"/>
      <c r="F19" s="582"/>
      <c r="G19" s="582"/>
      <c r="H19" s="583"/>
      <c r="I19" s="39" t="str">
        <f>IF($B19=0,"",VLOOKUP($B19,'Item de Pago'!B3:F38,4,FALSE))</f>
        <v>M3</v>
      </c>
      <c r="J19" s="147">
        <f>+J64</f>
        <v>165</v>
      </c>
      <c r="P19" s="1"/>
      <c r="T19" s="2"/>
    </row>
    <row r="20" spans="2:20" ht="15" customHeight="1" x14ac:dyDescent="0.3">
      <c r="B20" s="124">
        <v>1.3</v>
      </c>
      <c r="C20" s="581" t="str">
        <f>IF($B20=0,"",VLOOKUP($B20,'Item de Pago'!B4:F39,2,FALSE))</f>
        <v>RETIRO DE MATERIAL SOBRANTE EN VOLQUETA, CARGUE MANUAL</v>
      </c>
      <c r="D20" s="582"/>
      <c r="E20" s="582"/>
      <c r="F20" s="582"/>
      <c r="G20" s="582"/>
      <c r="H20" s="583"/>
      <c r="I20" s="39" t="str">
        <f>IF($B20=0,"",VLOOKUP($B20,'Item de Pago'!B4:F39,4,FALSE))</f>
        <v>M3</v>
      </c>
      <c r="J20" s="147">
        <f>+J76</f>
        <v>165</v>
      </c>
      <c r="P20" s="1"/>
      <c r="T20" s="2"/>
    </row>
    <row r="21" spans="2:20" x14ac:dyDescent="0.3">
      <c r="B21" s="124">
        <v>1.4</v>
      </c>
      <c r="C21" s="581" t="str">
        <f>IF($B21=0,"",VLOOKUP($B21,'Item de Pago'!B5:F40,2,FALSE))</f>
        <v>CONFORMACIÓN DE LA SUBRASANTE</v>
      </c>
      <c r="D21" s="582"/>
      <c r="E21" s="582"/>
      <c r="F21" s="582"/>
      <c r="G21" s="582"/>
      <c r="H21" s="583"/>
      <c r="I21" s="39" t="str">
        <f>IF($B21=0,"",VLOOKUP($B21,'Item de Pago'!B5:F40,4,FALSE))</f>
        <v>M2</v>
      </c>
      <c r="J21" s="147">
        <f>+J88</f>
        <v>549</v>
      </c>
      <c r="P21" s="1"/>
      <c r="T21" s="2"/>
    </row>
    <row r="22" spans="2:20" x14ac:dyDescent="0.3">
      <c r="B22" s="124">
        <v>1.5</v>
      </c>
      <c r="C22" s="581" t="str">
        <f>IF($B22=0,"",VLOOKUP($B22,'Item de Pago'!B6:F41,2,FALSE))</f>
        <v>AFIRMADO COMPACTADO PARA ESTRUCTURAS</v>
      </c>
      <c r="D22" s="582"/>
      <c r="E22" s="582"/>
      <c r="F22" s="582"/>
      <c r="G22" s="582"/>
      <c r="H22" s="583"/>
      <c r="I22" s="39" t="str">
        <f>IF($B22=0,"",VLOOKUP($B22,'Item de Pago'!B6:F41,4,FALSE))</f>
        <v>M3</v>
      </c>
      <c r="J22" s="147">
        <f>+J100</f>
        <v>82</v>
      </c>
      <c r="P22" s="1"/>
      <c r="T22" s="2"/>
    </row>
    <row r="23" spans="2:20" ht="25.5" customHeight="1" x14ac:dyDescent="0.3">
      <c r="B23" s="124">
        <v>1.6</v>
      </c>
      <c r="C23" s="581" t="str">
        <f>IF($B23=0,"",VLOOKUP($B23,'Item de Pago'!B7:F42,2,FALSE))</f>
        <v>CONCRETO DE 210 KG/CM² (3.000 PSI), ESPESOR 0,15 M - PLACAS HUELLAS Y VIGAS RIOSTRAS</v>
      </c>
      <c r="D23" s="582"/>
      <c r="E23" s="582"/>
      <c r="F23" s="582"/>
      <c r="G23" s="582"/>
      <c r="H23" s="583"/>
      <c r="I23" s="39" t="str">
        <f>IF($B23=0,"",VLOOKUP($B23,'Item de Pago'!B7:F42,4,FALSE))</f>
        <v>M3</v>
      </c>
      <c r="J23" s="147">
        <f>+J109</f>
        <v>50</v>
      </c>
      <c r="P23" s="1"/>
      <c r="T23" s="2"/>
    </row>
    <row r="24" spans="2:20" ht="27" customHeight="1" x14ac:dyDescent="0.3">
      <c r="B24" s="124">
        <v>1.7</v>
      </c>
      <c r="C24" s="581" t="str">
        <f>IF($B24=0,"",VLOOKUP($B24,'Item de Pago'!B8:F43,2,FALSE))</f>
        <v>CONCRETO CICLÓPEO ESPESOR 0,15 M (60% CONCRETO 3000 PSI Y 40% PIEDRA DE MANO)</v>
      </c>
      <c r="D24" s="582"/>
      <c r="E24" s="582"/>
      <c r="F24" s="582"/>
      <c r="G24" s="582"/>
      <c r="H24" s="583"/>
      <c r="I24" s="39" t="str">
        <f>IF($B24=0,"",VLOOKUP($B24,'Item de Pago'!B8:F43,4,FALSE))</f>
        <v>M3</v>
      </c>
      <c r="J24" s="147">
        <f>+J117</f>
        <v>18</v>
      </c>
      <c r="P24" s="1"/>
      <c r="T24" s="2"/>
    </row>
    <row r="25" spans="2:20" ht="27" customHeight="1" x14ac:dyDescent="0.3">
      <c r="B25" s="124">
        <v>1.8</v>
      </c>
      <c r="C25" s="581" t="str">
        <f>IF($B25=0,"",VLOOKUP($B25,'Item de Pago'!B9:F44,2,FALSE))</f>
        <v>ACERO DE REFUERZO 4.200 KG/CM²  (60.000 PSI) PARA PLACAS Y RIOSTRAS. (INCLUYE ALAMBRE NEGRO Y FIGURACION)</v>
      </c>
      <c r="D25" s="582"/>
      <c r="E25" s="582"/>
      <c r="F25" s="582"/>
      <c r="G25" s="582"/>
      <c r="H25" s="583"/>
      <c r="I25" s="39" t="str">
        <f>IF($B25=0,"",VLOOKUP($B25,'Item de Pago'!B9:F44,4,FALSE))</f>
        <v>KG</v>
      </c>
      <c r="J25" s="147">
        <f>+J134</f>
        <v>5204</v>
      </c>
      <c r="P25" s="1"/>
      <c r="T25" s="2"/>
    </row>
    <row r="26" spans="2:20" ht="27" customHeight="1" x14ac:dyDescent="0.3">
      <c r="B26" s="124">
        <v>1.9</v>
      </c>
      <c r="C26" s="581" t="str">
        <f>IF($B26=0,"",VLOOKUP($B26,'Item de Pago'!B10:F45,2,FALSE))</f>
        <v>CUNETA Y BORDILLO PARA VÍA VEHICULAR CONCRETO CLASE II PRODUCIDO EN OBRA</v>
      </c>
      <c r="D26" s="582"/>
      <c r="E26" s="582"/>
      <c r="F26" s="582"/>
      <c r="G26" s="582"/>
      <c r="H26" s="583"/>
      <c r="I26" s="39" t="str">
        <f>IF($B26=0,"",VLOOKUP($B26,'Item de Pago'!B10:F45,4,FALSE))</f>
        <v>M3</v>
      </c>
      <c r="J26" s="147">
        <f>+J144</f>
        <v>25</v>
      </c>
      <c r="P26" s="1"/>
      <c r="T26" s="2"/>
    </row>
    <row r="27" spans="2:20" ht="27" customHeight="1" x14ac:dyDescent="0.3">
      <c r="B27" s="162">
        <v>1.1000000000000001</v>
      </c>
      <c r="C27" s="581" t="str">
        <f>+'Item de Pago'!C20</f>
        <v>SARDINEL ANCHO = 20 CM H =  ENTRE  17 Y 24 CM  EN CONCRETO 3000 PSI</v>
      </c>
      <c r="D27" s="582"/>
      <c r="E27" s="582"/>
      <c r="F27" s="582"/>
      <c r="G27" s="582"/>
      <c r="H27" s="583"/>
      <c r="I27" s="39" t="str">
        <f>IF($B27=0,"",VLOOKUP($B27,'Item de Pago'!B11:F46,4,FALSE))</f>
        <v>M2</v>
      </c>
      <c r="J27" s="147">
        <f>+J152</f>
        <v>3</v>
      </c>
      <c r="P27" s="1"/>
      <c r="T27" s="2"/>
    </row>
    <row r="28" spans="2:20" ht="13.8" x14ac:dyDescent="0.3">
      <c r="D28" s="2"/>
      <c r="E28" s="2"/>
      <c r="F28" s="2"/>
      <c r="T28" s="2"/>
    </row>
    <row r="29" spans="2:20" ht="15" customHeight="1" x14ac:dyDescent="0.3">
      <c r="B29" s="40" t="str">
        <f>+'Item de Pago'!B22</f>
        <v>2</v>
      </c>
      <c r="C29" s="575" t="str">
        <f>IF($B29=0,"",VLOOKUP($B29,'Item de Pago'!B10:F45,2,FALSE))</f>
        <v xml:space="preserve">CONSTRUCCIÓN DE OBRAS DE DRENAJE CON TUBERÍA Y CABEZALES </v>
      </c>
      <c r="D29" s="576"/>
      <c r="E29" s="576"/>
      <c r="F29" s="576"/>
      <c r="G29" s="576"/>
      <c r="H29" s="576"/>
      <c r="I29" s="576"/>
      <c r="J29" s="577"/>
      <c r="P29" s="1"/>
      <c r="T29" s="2"/>
    </row>
    <row r="30" spans="2:20" ht="15" customHeight="1" x14ac:dyDescent="0.3">
      <c r="B30" s="179">
        <f>+'Item de Pago'!B23</f>
        <v>2.1</v>
      </c>
      <c r="C30" s="581" t="str">
        <f>IF($B30=0,"",VLOOKUP($B30,'Item de Pago'!B12:F46,2,FALSE))</f>
        <v>EXCAVACIÓN MANUAL 4,5 M * 2,1 M * 1,6 M PARA CABEZALES</v>
      </c>
      <c r="D30" s="582"/>
      <c r="E30" s="582"/>
      <c r="F30" s="582"/>
      <c r="G30" s="582"/>
      <c r="H30" s="583"/>
      <c r="I30" s="39" t="str">
        <f>IF($B30=0,"",VLOOKUP($B30,'Item de Pago'!B12:F46,4,FALSE))</f>
        <v>M3</v>
      </c>
      <c r="J30" s="147">
        <f>+J162</f>
        <v>30</v>
      </c>
      <c r="P30" s="1"/>
      <c r="T30" s="2"/>
    </row>
    <row r="31" spans="2:20" ht="27.75" customHeight="1" x14ac:dyDescent="0.3">
      <c r="B31" s="179" t="e">
        <v>#REF!</v>
      </c>
      <c r="C31" s="581" t="e">
        <f>IF($B31=0,"",VLOOKUP($B31,'Item de Pago'!B13:F47,2,FALSE))</f>
        <v>#REF!</v>
      </c>
      <c r="D31" s="582"/>
      <c r="E31" s="582"/>
      <c r="F31" s="582"/>
      <c r="G31" s="582"/>
      <c r="H31" s="583"/>
      <c r="I31" s="39" t="e">
        <f>IF($B31=0,"",VLOOKUP($B31,'Item de Pago'!B13:F47,4,FALSE))</f>
        <v>#REF!</v>
      </c>
      <c r="J31" s="147">
        <f>+J175</f>
        <v>1</v>
      </c>
      <c r="P31" s="1"/>
      <c r="T31" s="2"/>
    </row>
    <row r="32" spans="2:20" ht="28.5" customHeight="1" x14ac:dyDescent="0.3">
      <c r="B32" s="179">
        <f>+'Item de Pago'!B25</f>
        <v>2.2999999999999998</v>
      </c>
      <c r="C32" s="581" t="str">
        <f>IF($B32=0,"",VLOOKUP($B32,'Item de Pago'!B14:F48,2,FALSE))</f>
        <v>CABEZAL DE ENTREGA DE AGUAS LLUVIAS EN CONCRETO DE 3000 PSI  250 mm (10"). (Incluye acero de refuerzo )</v>
      </c>
      <c r="D32" s="582"/>
      <c r="E32" s="582"/>
      <c r="F32" s="582"/>
      <c r="G32" s="582"/>
      <c r="H32" s="583"/>
      <c r="I32" s="39" t="str">
        <f>IF($B32=0,"",VLOOKUP($B32,'Item de Pago'!B14:F48,4,FALSE))</f>
        <v>UND</v>
      </c>
      <c r="J32" s="147">
        <f>+J189</f>
        <v>7</v>
      </c>
      <c r="P32" s="1"/>
      <c r="T32" s="2"/>
    </row>
    <row r="33" spans="2:29" ht="27.75" customHeight="1" x14ac:dyDescent="0.3">
      <c r="B33" s="179" t="e">
        <v>#REF!</v>
      </c>
      <c r="C33" s="581" t="e">
        <f>IF($B33=0,"",VLOOKUP($B33,'Item de Pago'!B15:F49,2,FALSE))</f>
        <v>#REF!</v>
      </c>
      <c r="D33" s="582"/>
      <c r="E33" s="582"/>
      <c r="F33" s="582"/>
      <c r="G33" s="582"/>
      <c r="H33" s="583"/>
      <c r="I33" s="39" t="e">
        <f>IF($B33=0,"",VLOOKUP($B33,'Item de Pago'!B15:F49,4,FALSE))</f>
        <v>#REF!</v>
      </c>
      <c r="J33" s="147">
        <f>+J197</f>
        <v>6.5</v>
      </c>
      <c r="P33" s="1"/>
      <c r="T33" s="2"/>
    </row>
    <row r="34" spans="2:29" x14ac:dyDescent="0.3">
      <c r="B34" s="159"/>
      <c r="C34" s="140"/>
      <c r="D34" s="140"/>
      <c r="E34" s="140"/>
      <c r="F34" s="140"/>
      <c r="G34" s="140"/>
      <c r="H34" s="140"/>
      <c r="I34" s="141"/>
      <c r="J34" s="160"/>
      <c r="P34" s="1"/>
      <c r="T34" s="2"/>
    </row>
    <row r="35" spans="2:29" ht="15.6" x14ac:dyDescent="0.3">
      <c r="B35" s="502" t="s">
        <v>194</v>
      </c>
      <c r="C35" s="502"/>
      <c r="D35" s="502"/>
      <c r="E35" s="502"/>
      <c r="F35" s="502"/>
      <c r="G35" s="502"/>
      <c r="H35" s="502"/>
      <c r="I35" s="502"/>
      <c r="J35" s="502"/>
      <c r="P35" s="1"/>
      <c r="T35" s="2"/>
    </row>
    <row r="36" spans="2:29" x14ac:dyDescent="0.3">
      <c r="B36" s="159"/>
      <c r="C36" s="140"/>
      <c r="D36" s="140"/>
      <c r="E36" s="140"/>
      <c r="F36" s="140"/>
      <c r="G36" s="140"/>
      <c r="H36" s="140"/>
      <c r="I36" s="141"/>
      <c r="J36" s="160"/>
      <c r="P36" s="1"/>
      <c r="T36" s="2"/>
    </row>
    <row r="37" spans="2:29" ht="27.75" customHeight="1" x14ac:dyDescent="0.3">
      <c r="B37" s="173" t="s">
        <v>196</v>
      </c>
      <c r="C37" s="173" t="s">
        <v>1</v>
      </c>
      <c r="D37" s="173" t="s">
        <v>197</v>
      </c>
      <c r="E37" s="173" t="s">
        <v>198</v>
      </c>
      <c r="F37" s="599" t="s">
        <v>212</v>
      </c>
      <c r="G37" s="599"/>
      <c r="H37" s="599" t="s">
        <v>200</v>
      </c>
      <c r="I37" s="599"/>
      <c r="J37" s="173" t="s">
        <v>201</v>
      </c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61"/>
      <c r="AB37" s="161"/>
      <c r="AC37" s="161"/>
    </row>
    <row r="38" spans="2:29" ht="13.8" x14ac:dyDescent="0.3">
      <c r="B38" s="62" t="s">
        <v>23</v>
      </c>
      <c r="C38" s="174">
        <v>2</v>
      </c>
      <c r="D38" s="176">
        <f>+F38</f>
        <v>118.82481249999999</v>
      </c>
      <c r="E38" s="186">
        <f>+(1+1+0.15)/2</f>
        <v>1.075</v>
      </c>
      <c r="F38" s="547">
        <f>(11+36.529925)*2.5</f>
        <v>118.82481249999999</v>
      </c>
      <c r="G38" s="548"/>
      <c r="H38" s="547">
        <f>(12+38)*0.2</f>
        <v>10</v>
      </c>
      <c r="I38" s="548"/>
      <c r="J38" s="162">
        <f>SUM(F38:I38)</f>
        <v>128.82481250000001</v>
      </c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61"/>
      <c r="AB38" s="161"/>
      <c r="AC38" s="161"/>
    </row>
    <row r="39" spans="2:29" ht="27.6" x14ac:dyDescent="0.3">
      <c r="B39" s="62" t="s">
        <v>207</v>
      </c>
      <c r="C39" s="174">
        <v>1</v>
      </c>
      <c r="D39" s="176">
        <f>+F38</f>
        <v>118.82481249999999</v>
      </c>
      <c r="E39" s="174">
        <v>1</v>
      </c>
      <c r="F39" s="2"/>
      <c r="J39" s="123"/>
      <c r="K39" s="123"/>
      <c r="T39" s="2"/>
      <c r="AB39" s="123"/>
      <c r="AC39" s="123"/>
    </row>
    <row r="40" spans="2:29" ht="13.8" x14ac:dyDescent="0.3">
      <c r="B40" s="62" t="s">
        <v>22</v>
      </c>
      <c r="C40" s="174">
        <v>1</v>
      </c>
      <c r="D40" s="176">
        <f>+J38</f>
        <v>128.82481250000001</v>
      </c>
      <c r="E40" s="174">
        <v>0.2</v>
      </c>
      <c r="F40" s="2"/>
      <c r="J40" s="123"/>
      <c r="K40" s="123"/>
      <c r="T40" s="2"/>
      <c r="AB40" s="161"/>
      <c r="AC40" s="161"/>
    </row>
    <row r="41" spans="2:29" ht="13.8" x14ac:dyDescent="0.3">
      <c r="B41" s="62" t="s">
        <v>16</v>
      </c>
      <c r="C41" s="174">
        <v>1</v>
      </c>
      <c r="D41" s="176">
        <f>+J38</f>
        <v>128.82481250000001</v>
      </c>
      <c r="E41" s="174">
        <v>0.85</v>
      </c>
      <c r="F41" s="2"/>
      <c r="T41" s="2"/>
    </row>
    <row r="42" spans="2:29" ht="13.8" x14ac:dyDescent="0.3">
      <c r="B42" s="62" t="s">
        <v>33</v>
      </c>
      <c r="C42" s="174">
        <v>66</v>
      </c>
      <c r="D42" s="176">
        <v>3</v>
      </c>
      <c r="E42" s="174">
        <v>0.2</v>
      </c>
      <c r="F42" s="2"/>
      <c r="T42" s="2"/>
    </row>
    <row r="43" spans="2:29" ht="13.8" x14ac:dyDescent="0.3">
      <c r="B43" s="62" t="s">
        <v>208</v>
      </c>
      <c r="C43" s="174">
        <v>1</v>
      </c>
      <c r="D43" s="176">
        <f>+J38</f>
        <v>128.82481250000001</v>
      </c>
      <c r="E43" s="174">
        <v>0.2</v>
      </c>
      <c r="F43" s="2"/>
      <c r="T43" s="2"/>
    </row>
    <row r="44" spans="2:29" ht="13.8" x14ac:dyDescent="0.3">
      <c r="B44" s="159"/>
      <c r="C44" s="140"/>
      <c r="D44" s="140"/>
      <c r="E44" s="140"/>
      <c r="F44" s="140"/>
      <c r="G44" s="140"/>
      <c r="H44" s="140"/>
      <c r="I44" s="141"/>
      <c r="J44" s="160"/>
      <c r="T44" s="2"/>
    </row>
    <row r="45" spans="2:29" ht="18" customHeight="1" x14ac:dyDescent="0.3">
      <c r="B45" s="158" t="str">
        <f>+'Item de Pago'!B10</f>
        <v>1</v>
      </c>
      <c r="C45" s="597" t="str">
        <f>IF($B45=0,"",VLOOKUP($B45,'Item de Pago'!$B$2:$F$37,2,FALSE))</f>
        <v>CONSTRUCCIÓN DE PLACAS HUELLAS</v>
      </c>
      <c r="D45" s="598"/>
      <c r="E45" s="598"/>
      <c r="F45" s="148"/>
      <c r="G45" s="148"/>
      <c r="H45" s="148"/>
      <c r="I45" s="148"/>
      <c r="J45" s="149"/>
      <c r="K45" s="3"/>
      <c r="T45" s="2"/>
    </row>
    <row r="46" spans="2:29" ht="5.25" customHeight="1" x14ac:dyDescent="0.3">
      <c r="B46" s="41"/>
      <c r="C46" s="41"/>
      <c r="D46" s="42"/>
      <c r="E46" s="42"/>
      <c r="F46" s="41"/>
      <c r="G46" s="41"/>
      <c r="H46" s="41"/>
      <c r="I46" s="41"/>
      <c r="J46" s="41"/>
      <c r="K46" s="41"/>
      <c r="T46" s="2"/>
    </row>
    <row r="47" spans="2:29" ht="15.75" customHeight="1" x14ac:dyDescent="0.3">
      <c r="B47" s="150" t="s">
        <v>199</v>
      </c>
      <c r="C47" s="578" t="s">
        <v>118</v>
      </c>
      <c r="D47" s="579"/>
      <c r="E47" s="579"/>
      <c r="F47" s="579"/>
      <c r="G47" s="579"/>
      <c r="H47" s="579"/>
      <c r="I47" s="580"/>
      <c r="J47" s="146" t="s">
        <v>119</v>
      </c>
      <c r="T47" s="2"/>
    </row>
    <row r="48" spans="2:29" ht="13.8" x14ac:dyDescent="0.3">
      <c r="B48" s="151">
        <f>+'Item de Pago'!B11</f>
        <v>1.1000000000000001</v>
      </c>
      <c r="C48" s="584" t="str">
        <f>IF($B48=0,"",VLOOKUP($B48,'Item de Pago'!$B$2:$F$37,2,FALSE))</f>
        <v>LOCALIZACIÓN Y REPLANTEO</v>
      </c>
      <c r="D48" s="585"/>
      <c r="E48" s="585"/>
      <c r="F48" s="585"/>
      <c r="G48" s="585"/>
      <c r="H48" s="585"/>
      <c r="I48" s="586"/>
      <c r="J48" s="151" t="str">
        <f>IF($B48=0,"",VLOOKUP($B48,'Item de Pago'!$B$2:$F$37,4,FALSE))</f>
        <v>M2</v>
      </c>
      <c r="T48" s="2"/>
    </row>
    <row r="49" spans="2:20" ht="4.5" customHeight="1" x14ac:dyDescent="0.3"/>
    <row r="50" spans="2:20" ht="41.4" x14ac:dyDescent="0.3">
      <c r="B50" s="595" t="s">
        <v>29</v>
      </c>
      <c r="C50" s="596"/>
      <c r="D50" s="152" t="s">
        <v>27</v>
      </c>
      <c r="E50" s="152" t="s">
        <v>28</v>
      </c>
      <c r="F50" s="152" t="s">
        <v>120</v>
      </c>
      <c r="G50" s="596" t="s">
        <v>121</v>
      </c>
      <c r="H50" s="596"/>
      <c r="I50" s="152" t="s">
        <v>122</v>
      </c>
      <c r="J50" s="153" t="s">
        <v>15</v>
      </c>
    </row>
    <row r="51" spans="2:20" x14ac:dyDescent="0.3">
      <c r="B51" s="590" t="str">
        <f>+C48</f>
        <v>LOCALIZACIÓN Y REPLANTEO</v>
      </c>
      <c r="C51" s="591"/>
      <c r="D51" s="156">
        <f>+J38</f>
        <v>128.82481250000001</v>
      </c>
      <c r="E51" s="156"/>
      <c r="F51" s="178"/>
      <c r="G51" s="594">
        <f>+D51:D52</f>
        <v>128.82481250000001</v>
      </c>
      <c r="H51" s="594"/>
      <c r="I51" s="156">
        <v>1</v>
      </c>
      <c r="J51" s="168">
        <f>+G51*I51</f>
        <v>128.82481250000001</v>
      </c>
    </row>
    <row r="52" spans="2:20" ht="13.8" x14ac:dyDescent="0.3">
      <c r="J52" s="175">
        <f>ROUND(SUM(J51:J51),0)</f>
        <v>129</v>
      </c>
      <c r="T52" s="2"/>
    </row>
    <row r="54" spans="2:20" ht="13.8" x14ac:dyDescent="0.3">
      <c r="T54" s="2"/>
    </row>
    <row r="55" spans="2:20" ht="15.75" customHeight="1" x14ac:dyDescent="0.3">
      <c r="B55" s="150" t="s">
        <v>199</v>
      </c>
      <c r="C55" s="578" t="s">
        <v>118</v>
      </c>
      <c r="D55" s="579"/>
      <c r="E55" s="579"/>
      <c r="F55" s="579"/>
      <c r="G55" s="579"/>
      <c r="H55" s="579"/>
      <c r="I55" s="580"/>
      <c r="J55" s="146" t="s">
        <v>119</v>
      </c>
      <c r="T55" s="2"/>
    </row>
    <row r="56" spans="2:20" ht="13.8" x14ac:dyDescent="0.3">
      <c r="B56" s="151">
        <f>+'Item de Pago'!B12</f>
        <v>1.2</v>
      </c>
      <c r="C56" s="584" t="str">
        <f>IF($B56=0,"",VLOOKUP($B56,'Item de Pago'!$B$2:$F$37,2,FALSE))</f>
        <v>EXCAVACIÓN MANUAL PARA ESTRUCTURAS - MATERIAL COMÚN - 0.0 A 2.0 M</v>
      </c>
      <c r="D56" s="585"/>
      <c r="E56" s="585"/>
      <c r="F56" s="585"/>
      <c r="G56" s="585"/>
      <c r="H56" s="585"/>
      <c r="I56" s="586"/>
      <c r="J56" s="151" t="str">
        <f>IF($B56=0,"",VLOOKUP($B56,'Item de Pago'!$B$2:$F$37,4,FALSE))</f>
        <v>M3</v>
      </c>
      <c r="T56" s="2"/>
    </row>
    <row r="57" spans="2:20" ht="4.5" customHeight="1" x14ac:dyDescent="0.3"/>
    <row r="58" spans="2:20" ht="41.4" x14ac:dyDescent="0.3">
      <c r="B58" s="595" t="s">
        <v>29</v>
      </c>
      <c r="C58" s="596"/>
      <c r="D58" s="152" t="s">
        <v>27</v>
      </c>
      <c r="E58" s="152" t="s">
        <v>28</v>
      </c>
      <c r="F58" s="152" t="s">
        <v>120</v>
      </c>
      <c r="G58" s="596" t="s">
        <v>121</v>
      </c>
      <c r="H58" s="596"/>
      <c r="I58" s="152" t="s">
        <v>122</v>
      </c>
      <c r="J58" s="153" t="s">
        <v>15</v>
      </c>
    </row>
    <row r="59" spans="2:20" ht="13.8" x14ac:dyDescent="0.3">
      <c r="B59" s="587" t="s">
        <v>23</v>
      </c>
      <c r="C59" s="588"/>
      <c r="D59" s="43">
        <f>+VLOOKUP(B59,$B$38:$E$42,3,FALSE)</f>
        <v>118.82481249999999</v>
      </c>
      <c r="E59" s="43">
        <f>+VLOOKUP(B59,$B$38:$E$42,4,FALSE)</f>
        <v>1.075</v>
      </c>
      <c r="F59" s="137">
        <v>0.3</v>
      </c>
      <c r="G59" s="589">
        <f>+D59*E59*F59</f>
        <v>38.321002031249996</v>
      </c>
      <c r="H59" s="589"/>
      <c r="I59" s="43">
        <f>+VLOOKUP(B59,$B$38:$E$42,2,FALSE)</f>
        <v>2</v>
      </c>
      <c r="J59" s="154">
        <f>+G59*I59</f>
        <v>76.642004062499993</v>
      </c>
      <c r="T59" s="2"/>
    </row>
    <row r="60" spans="2:20" ht="13.8" x14ac:dyDescent="0.3">
      <c r="B60" s="587" t="s">
        <v>207</v>
      </c>
      <c r="C60" s="588"/>
      <c r="D60" s="43">
        <f t="shared" ref="D60:D63" si="0">+VLOOKUP(B60,$B$38:$E$42,3,FALSE)</f>
        <v>118.82481249999999</v>
      </c>
      <c r="E60" s="43">
        <f t="shared" ref="E60:E63" si="1">+VLOOKUP(B60,$B$38:$E$42,4,FALSE)</f>
        <v>1</v>
      </c>
      <c r="F60" s="44">
        <v>0.3</v>
      </c>
      <c r="G60" s="589">
        <f>+D60*E60*F60</f>
        <v>35.647443749999994</v>
      </c>
      <c r="H60" s="589"/>
      <c r="I60" s="43">
        <f t="shared" ref="I60:I63" si="2">+VLOOKUP(B60,$B$38:$E$42,2,FALSE)</f>
        <v>1</v>
      </c>
      <c r="J60" s="154">
        <f t="shared" ref="J60:J63" si="3">+G60*I60</f>
        <v>35.647443749999994</v>
      </c>
      <c r="T60" s="2"/>
    </row>
    <row r="61" spans="2:20" ht="13.8" x14ac:dyDescent="0.3">
      <c r="B61" s="587" t="s">
        <v>22</v>
      </c>
      <c r="C61" s="588"/>
      <c r="D61" s="43">
        <f t="shared" si="0"/>
        <v>128.82481250000001</v>
      </c>
      <c r="E61" s="43">
        <f t="shared" si="1"/>
        <v>0.2</v>
      </c>
      <c r="F61" s="44">
        <v>0.3</v>
      </c>
      <c r="G61" s="589">
        <f t="shared" ref="G61:G63" si="4">+D61*E61*F61</f>
        <v>7.7294887500000007</v>
      </c>
      <c r="H61" s="589"/>
      <c r="I61" s="43">
        <f t="shared" si="2"/>
        <v>1</v>
      </c>
      <c r="J61" s="154">
        <f t="shared" si="3"/>
        <v>7.7294887500000007</v>
      </c>
      <c r="T61" s="2"/>
    </row>
    <row r="62" spans="2:20" ht="13.8" x14ac:dyDescent="0.3">
      <c r="B62" s="587" t="s">
        <v>16</v>
      </c>
      <c r="C62" s="588"/>
      <c r="D62" s="43">
        <f t="shared" si="0"/>
        <v>128.82481250000001</v>
      </c>
      <c r="E62" s="43">
        <f t="shared" si="1"/>
        <v>0.85</v>
      </c>
      <c r="F62" s="44">
        <v>0.3</v>
      </c>
      <c r="G62" s="589">
        <f t="shared" si="4"/>
        <v>32.8503271875</v>
      </c>
      <c r="H62" s="589"/>
      <c r="I62" s="43">
        <f t="shared" si="2"/>
        <v>1</v>
      </c>
      <c r="J62" s="154">
        <f t="shared" si="3"/>
        <v>32.8503271875</v>
      </c>
      <c r="T62" s="2"/>
    </row>
    <row r="63" spans="2:20" ht="13.8" x14ac:dyDescent="0.3">
      <c r="B63" s="590" t="s">
        <v>33</v>
      </c>
      <c r="C63" s="591"/>
      <c r="D63" s="156">
        <f t="shared" si="0"/>
        <v>3</v>
      </c>
      <c r="E63" s="156">
        <f t="shared" si="1"/>
        <v>0.2</v>
      </c>
      <c r="F63" s="155">
        <v>0.3</v>
      </c>
      <c r="G63" s="592">
        <f t="shared" si="4"/>
        <v>0.18000000000000002</v>
      </c>
      <c r="H63" s="593"/>
      <c r="I63" s="156">
        <f t="shared" si="2"/>
        <v>66</v>
      </c>
      <c r="J63" s="168">
        <f t="shared" si="3"/>
        <v>11.88</v>
      </c>
      <c r="T63" s="2"/>
    </row>
    <row r="64" spans="2:20" ht="13.8" x14ac:dyDescent="0.3">
      <c r="J64" s="175">
        <f>ROUND(SUM(J59:J63),0)</f>
        <v>165</v>
      </c>
      <c r="T64" s="2"/>
    </row>
    <row r="66" spans="2:20" ht="13.8" x14ac:dyDescent="0.3">
      <c r="T66" s="2"/>
    </row>
    <row r="67" spans="2:20" ht="15.75" customHeight="1" x14ac:dyDescent="0.3">
      <c r="B67" s="150" t="s">
        <v>199</v>
      </c>
      <c r="C67" s="578" t="s">
        <v>118</v>
      </c>
      <c r="D67" s="579"/>
      <c r="E67" s="579"/>
      <c r="F67" s="579"/>
      <c r="G67" s="579"/>
      <c r="H67" s="579"/>
      <c r="I67" s="580"/>
      <c r="J67" s="146" t="s">
        <v>119</v>
      </c>
      <c r="T67" s="2"/>
    </row>
    <row r="68" spans="2:20" ht="13.8" x14ac:dyDescent="0.3">
      <c r="B68" s="151">
        <f>+'Item de Pago'!B13</f>
        <v>1.3</v>
      </c>
      <c r="C68" s="584" t="str">
        <f>IF($B68=0,"",VLOOKUP($B68,'Item de Pago'!$B$2:$F$37,2,FALSE))</f>
        <v>RETIRO DE MATERIAL SOBRANTE EN VOLQUETA, CARGUE MANUAL</v>
      </c>
      <c r="D68" s="585"/>
      <c r="E68" s="585"/>
      <c r="F68" s="585"/>
      <c r="G68" s="585"/>
      <c r="H68" s="585"/>
      <c r="I68" s="586"/>
      <c r="J68" s="151" t="str">
        <f>IF($B68=0,"",VLOOKUP($B68,'Item de Pago'!$B$2:$F$37,4,FALSE))</f>
        <v>M3</v>
      </c>
      <c r="T68" s="2"/>
    </row>
    <row r="69" spans="2:20" ht="4.5" customHeight="1" x14ac:dyDescent="0.3"/>
    <row r="70" spans="2:20" ht="41.4" x14ac:dyDescent="0.3">
      <c r="B70" s="595" t="s">
        <v>29</v>
      </c>
      <c r="C70" s="596"/>
      <c r="D70" s="152" t="s">
        <v>27</v>
      </c>
      <c r="E70" s="152" t="s">
        <v>28</v>
      </c>
      <c r="F70" s="152" t="s">
        <v>120</v>
      </c>
      <c r="G70" s="596" t="s">
        <v>121</v>
      </c>
      <c r="H70" s="596"/>
      <c r="I70" s="152" t="s">
        <v>122</v>
      </c>
      <c r="J70" s="153" t="s">
        <v>15</v>
      </c>
    </row>
    <row r="71" spans="2:20" ht="13.8" x14ac:dyDescent="0.3">
      <c r="B71" s="587" t="s">
        <v>23</v>
      </c>
      <c r="C71" s="588"/>
      <c r="D71" s="43">
        <f>+VLOOKUP(B71,$B$38:$E$42,3,FALSE)</f>
        <v>118.82481249999999</v>
      </c>
      <c r="E71" s="43">
        <f>+VLOOKUP(B71,$B$38:$E$42,4,FALSE)</f>
        <v>1.075</v>
      </c>
      <c r="F71" s="137">
        <v>0.3</v>
      </c>
      <c r="G71" s="589">
        <f>+D71*E71*F71</f>
        <v>38.321002031249996</v>
      </c>
      <c r="H71" s="589"/>
      <c r="I71" s="43">
        <f>+VLOOKUP(B71,$B$38:$E$42,2,FALSE)</f>
        <v>2</v>
      </c>
      <c r="J71" s="154">
        <f>+G71*I71</f>
        <v>76.642004062499993</v>
      </c>
      <c r="T71" s="2"/>
    </row>
    <row r="72" spans="2:20" ht="13.8" x14ac:dyDescent="0.3">
      <c r="B72" s="587" t="s">
        <v>207</v>
      </c>
      <c r="C72" s="588"/>
      <c r="D72" s="43">
        <f t="shared" ref="D72:D75" si="5">+VLOOKUP(B72,$B$38:$E$42,3,FALSE)</f>
        <v>118.82481249999999</v>
      </c>
      <c r="E72" s="43">
        <f t="shared" ref="E72:E75" si="6">+VLOOKUP(B72,$B$38:$E$42,4,FALSE)</f>
        <v>1</v>
      </c>
      <c r="F72" s="44">
        <v>0.3</v>
      </c>
      <c r="G72" s="589">
        <f>+D72*E72*F72</f>
        <v>35.647443749999994</v>
      </c>
      <c r="H72" s="589"/>
      <c r="I72" s="43">
        <f t="shared" ref="I72:I75" si="7">+VLOOKUP(B72,$B$38:$E$42,2,FALSE)</f>
        <v>1</v>
      </c>
      <c r="J72" s="154">
        <f t="shared" ref="J72:J75" si="8">+G72*I72</f>
        <v>35.647443749999994</v>
      </c>
      <c r="T72" s="2"/>
    </row>
    <row r="73" spans="2:20" ht="13.8" x14ac:dyDescent="0.3">
      <c r="B73" s="587" t="s">
        <v>22</v>
      </c>
      <c r="C73" s="588"/>
      <c r="D73" s="43">
        <f t="shared" si="5"/>
        <v>128.82481250000001</v>
      </c>
      <c r="E73" s="43">
        <f t="shared" si="6"/>
        <v>0.2</v>
      </c>
      <c r="F73" s="44">
        <v>0.3</v>
      </c>
      <c r="G73" s="589">
        <f t="shared" ref="G73:G75" si="9">+D73*E73*F73</f>
        <v>7.7294887500000007</v>
      </c>
      <c r="H73" s="589"/>
      <c r="I73" s="43">
        <f t="shared" si="7"/>
        <v>1</v>
      </c>
      <c r="J73" s="154">
        <f t="shared" si="8"/>
        <v>7.7294887500000007</v>
      </c>
      <c r="T73" s="2"/>
    </row>
    <row r="74" spans="2:20" ht="13.8" x14ac:dyDescent="0.3">
      <c r="B74" s="587" t="s">
        <v>16</v>
      </c>
      <c r="C74" s="588"/>
      <c r="D74" s="43">
        <f t="shared" si="5"/>
        <v>128.82481250000001</v>
      </c>
      <c r="E74" s="43">
        <f t="shared" si="6"/>
        <v>0.85</v>
      </c>
      <c r="F74" s="44">
        <v>0.3</v>
      </c>
      <c r="G74" s="589">
        <f t="shared" si="9"/>
        <v>32.8503271875</v>
      </c>
      <c r="H74" s="589"/>
      <c r="I74" s="43">
        <f t="shared" si="7"/>
        <v>1</v>
      </c>
      <c r="J74" s="154">
        <f t="shared" si="8"/>
        <v>32.8503271875</v>
      </c>
      <c r="T74" s="2"/>
    </row>
    <row r="75" spans="2:20" ht="13.8" x14ac:dyDescent="0.3">
      <c r="B75" s="590" t="s">
        <v>33</v>
      </c>
      <c r="C75" s="591"/>
      <c r="D75" s="156">
        <f t="shared" si="5"/>
        <v>3</v>
      </c>
      <c r="E75" s="156">
        <f t="shared" si="6"/>
        <v>0.2</v>
      </c>
      <c r="F75" s="155">
        <v>0.3</v>
      </c>
      <c r="G75" s="594">
        <f t="shared" si="9"/>
        <v>0.18000000000000002</v>
      </c>
      <c r="H75" s="594"/>
      <c r="I75" s="156">
        <f t="shared" si="7"/>
        <v>66</v>
      </c>
      <c r="J75" s="168">
        <f t="shared" si="8"/>
        <v>11.88</v>
      </c>
      <c r="T75" s="2"/>
    </row>
    <row r="76" spans="2:20" ht="13.8" x14ac:dyDescent="0.3">
      <c r="J76" s="175">
        <f>ROUND(SUM(J71:J75),0)</f>
        <v>165</v>
      </c>
      <c r="T76" s="2"/>
    </row>
    <row r="78" spans="2:20" ht="13.8" x14ac:dyDescent="0.3">
      <c r="T78" s="2"/>
    </row>
    <row r="79" spans="2:20" ht="15.75" customHeight="1" x14ac:dyDescent="0.3">
      <c r="B79" s="150" t="s">
        <v>199</v>
      </c>
      <c r="C79" s="578" t="s">
        <v>118</v>
      </c>
      <c r="D79" s="579"/>
      <c r="E79" s="579"/>
      <c r="F79" s="579"/>
      <c r="G79" s="579"/>
      <c r="H79" s="579"/>
      <c r="I79" s="580"/>
      <c r="J79" s="146" t="s">
        <v>119</v>
      </c>
      <c r="T79" s="2"/>
    </row>
    <row r="80" spans="2:20" ht="13.8" x14ac:dyDescent="0.3">
      <c r="B80" s="151">
        <f>+'Item de Pago'!B14</f>
        <v>1.4</v>
      </c>
      <c r="C80" s="584" t="str">
        <f>IF($B80=0,"",VLOOKUP($B80,'Item de Pago'!$B$2:$F$37,2,FALSE))</f>
        <v>CONFORMACIÓN DE LA SUBRASANTE</v>
      </c>
      <c r="D80" s="585"/>
      <c r="E80" s="585"/>
      <c r="F80" s="585"/>
      <c r="G80" s="585"/>
      <c r="H80" s="585"/>
      <c r="I80" s="586"/>
      <c r="J80" s="151" t="str">
        <f>IF($B80=0,"",VLOOKUP($B80,'Item de Pago'!$B$2:$F$37,4,FALSE))</f>
        <v>M2</v>
      </c>
      <c r="T80" s="2"/>
    </row>
    <row r="81" spans="2:20" ht="4.5" customHeight="1" x14ac:dyDescent="0.3"/>
    <row r="82" spans="2:20" ht="41.4" x14ac:dyDescent="0.3">
      <c r="B82" s="595" t="s">
        <v>29</v>
      </c>
      <c r="C82" s="596"/>
      <c r="D82" s="152" t="s">
        <v>27</v>
      </c>
      <c r="E82" s="152" t="s">
        <v>28</v>
      </c>
      <c r="F82" s="152" t="s">
        <v>120</v>
      </c>
      <c r="G82" s="596" t="s">
        <v>121</v>
      </c>
      <c r="H82" s="596"/>
      <c r="I82" s="152" t="s">
        <v>122</v>
      </c>
      <c r="J82" s="153" t="s">
        <v>15</v>
      </c>
    </row>
    <row r="83" spans="2:20" ht="13.8" x14ac:dyDescent="0.3">
      <c r="B83" s="587" t="s">
        <v>23</v>
      </c>
      <c r="C83" s="588"/>
      <c r="D83" s="43">
        <f>+VLOOKUP(B83,$B$38:$E$42,3,FALSE)</f>
        <v>118.82481249999999</v>
      </c>
      <c r="E83" s="43">
        <f>+VLOOKUP(B83,$B$38:$E$42,4,FALSE)</f>
        <v>1.075</v>
      </c>
      <c r="F83" s="137"/>
      <c r="G83" s="589">
        <f>+D83*E83</f>
        <v>127.73667343749999</v>
      </c>
      <c r="H83" s="589"/>
      <c r="I83" s="43">
        <f>+VLOOKUP(B83,$B$38:$E$42,2,FALSE)</f>
        <v>2</v>
      </c>
      <c r="J83" s="154">
        <f>+G83*I83</f>
        <v>255.47334687499998</v>
      </c>
      <c r="T83" s="2"/>
    </row>
    <row r="84" spans="2:20" ht="13.8" x14ac:dyDescent="0.3">
      <c r="B84" s="587" t="s">
        <v>207</v>
      </c>
      <c r="C84" s="588"/>
      <c r="D84" s="43">
        <f t="shared" ref="D84:D87" si="10">+VLOOKUP(B84,$B$38:$E$42,3,FALSE)</f>
        <v>118.82481249999999</v>
      </c>
      <c r="E84" s="43">
        <f t="shared" ref="E84:E87" si="11">+VLOOKUP(B84,$B$38:$E$42,4,FALSE)</f>
        <v>1</v>
      </c>
      <c r="F84" s="44"/>
      <c r="G84" s="589">
        <f t="shared" ref="G84:G87" si="12">+D84*E84</f>
        <v>118.82481249999999</v>
      </c>
      <c r="H84" s="589"/>
      <c r="I84" s="43">
        <f t="shared" ref="I84:I87" si="13">+VLOOKUP(B84,$B$38:$E$42,2,FALSE)</f>
        <v>1</v>
      </c>
      <c r="J84" s="154">
        <f t="shared" ref="J84:J86" si="14">+G84*I84</f>
        <v>118.82481249999999</v>
      </c>
      <c r="T84" s="2"/>
    </row>
    <row r="85" spans="2:20" ht="13.8" x14ac:dyDescent="0.3">
      <c r="B85" s="587" t="s">
        <v>22</v>
      </c>
      <c r="C85" s="588"/>
      <c r="D85" s="43">
        <f t="shared" si="10"/>
        <v>128.82481250000001</v>
      </c>
      <c r="E85" s="43">
        <f t="shared" si="11"/>
        <v>0.2</v>
      </c>
      <c r="F85" s="44"/>
      <c r="G85" s="589">
        <f t="shared" si="12"/>
        <v>25.764962500000003</v>
      </c>
      <c r="H85" s="589"/>
      <c r="I85" s="43">
        <f t="shared" si="13"/>
        <v>1</v>
      </c>
      <c r="J85" s="154">
        <f t="shared" si="14"/>
        <v>25.764962500000003</v>
      </c>
      <c r="T85" s="2"/>
    </row>
    <row r="86" spans="2:20" ht="13.8" x14ac:dyDescent="0.3">
      <c r="B86" s="587" t="s">
        <v>16</v>
      </c>
      <c r="C86" s="588"/>
      <c r="D86" s="43">
        <f t="shared" si="10"/>
        <v>128.82481250000001</v>
      </c>
      <c r="E86" s="43">
        <f t="shared" si="11"/>
        <v>0.85</v>
      </c>
      <c r="F86" s="44"/>
      <c r="G86" s="589">
        <f t="shared" si="12"/>
        <v>109.501090625</v>
      </c>
      <c r="H86" s="589"/>
      <c r="I86" s="43">
        <f t="shared" si="13"/>
        <v>1</v>
      </c>
      <c r="J86" s="154">
        <f t="shared" si="14"/>
        <v>109.501090625</v>
      </c>
      <c r="T86" s="2"/>
    </row>
    <row r="87" spans="2:20" ht="13.8" x14ac:dyDescent="0.3">
      <c r="B87" s="590" t="s">
        <v>33</v>
      </c>
      <c r="C87" s="591"/>
      <c r="D87" s="156">
        <f t="shared" si="10"/>
        <v>3</v>
      </c>
      <c r="E87" s="156">
        <f t="shared" si="11"/>
        <v>0.2</v>
      </c>
      <c r="F87" s="155"/>
      <c r="G87" s="594">
        <f t="shared" si="12"/>
        <v>0.60000000000000009</v>
      </c>
      <c r="H87" s="594"/>
      <c r="I87" s="156">
        <f t="shared" si="13"/>
        <v>66</v>
      </c>
      <c r="J87" s="168">
        <f>+G87*I87</f>
        <v>39.600000000000009</v>
      </c>
      <c r="T87" s="2"/>
    </row>
    <row r="88" spans="2:20" x14ac:dyDescent="0.3">
      <c r="J88" s="175">
        <f>ROUND(SUM(J83:J87),0)</f>
        <v>549</v>
      </c>
    </row>
    <row r="90" spans="2:20" ht="13.8" x14ac:dyDescent="0.3">
      <c r="T90" s="2"/>
    </row>
    <row r="91" spans="2:20" ht="15.75" customHeight="1" x14ac:dyDescent="0.3">
      <c r="B91" s="150" t="s">
        <v>199</v>
      </c>
      <c r="C91" s="578" t="s">
        <v>118</v>
      </c>
      <c r="D91" s="579"/>
      <c r="E91" s="579"/>
      <c r="F91" s="579"/>
      <c r="G91" s="579"/>
      <c r="H91" s="579"/>
      <c r="I91" s="580"/>
      <c r="J91" s="146" t="s">
        <v>119</v>
      </c>
      <c r="T91" s="2"/>
    </row>
    <row r="92" spans="2:20" ht="13.8" x14ac:dyDescent="0.3">
      <c r="B92" s="151">
        <f>+'Item de Pago'!B15</f>
        <v>1.5</v>
      </c>
      <c r="C92" s="584" t="str">
        <f>IF($B92=0,"",VLOOKUP($B92,'Item de Pago'!$B$2:$F$37,2,FALSE))</f>
        <v>AFIRMADO COMPACTADO PARA ESTRUCTURAS</v>
      </c>
      <c r="D92" s="585"/>
      <c r="E92" s="585"/>
      <c r="F92" s="585"/>
      <c r="G92" s="585"/>
      <c r="H92" s="585"/>
      <c r="I92" s="586"/>
      <c r="J92" s="151" t="str">
        <f>IF($B92=0,"",VLOOKUP($B92,'Item de Pago'!$B$2:$F$37,4,FALSE))</f>
        <v>M3</v>
      </c>
      <c r="T92" s="2"/>
    </row>
    <row r="93" spans="2:20" ht="4.5" customHeight="1" x14ac:dyDescent="0.3"/>
    <row r="94" spans="2:20" ht="41.4" x14ac:dyDescent="0.3">
      <c r="B94" s="595" t="s">
        <v>29</v>
      </c>
      <c r="C94" s="596"/>
      <c r="D94" s="152" t="s">
        <v>27</v>
      </c>
      <c r="E94" s="152" t="s">
        <v>28</v>
      </c>
      <c r="F94" s="152" t="s">
        <v>120</v>
      </c>
      <c r="G94" s="596" t="s">
        <v>121</v>
      </c>
      <c r="H94" s="596"/>
      <c r="I94" s="152" t="s">
        <v>122</v>
      </c>
      <c r="J94" s="153" t="s">
        <v>15</v>
      </c>
    </row>
    <row r="95" spans="2:20" ht="13.8" x14ac:dyDescent="0.3">
      <c r="B95" s="587" t="s">
        <v>23</v>
      </c>
      <c r="C95" s="588"/>
      <c r="D95" s="43">
        <f>+VLOOKUP(B95,$B$38:$E$42,3,FALSE)</f>
        <v>118.82481249999999</v>
      </c>
      <c r="E95" s="43">
        <f>+VLOOKUP(B95,$B$38:$E$42,4,FALSE)</f>
        <v>1.075</v>
      </c>
      <c r="F95" s="137">
        <v>0.15</v>
      </c>
      <c r="G95" s="589">
        <f>+D95*E95*F95</f>
        <v>19.160501015624998</v>
      </c>
      <c r="H95" s="589"/>
      <c r="I95" s="43">
        <f>+VLOOKUP(B95,$B$38:$E$42,2,FALSE)</f>
        <v>2</v>
      </c>
      <c r="J95" s="154">
        <f>+G95*I95</f>
        <v>38.321002031249996</v>
      </c>
      <c r="T95" s="2"/>
    </row>
    <row r="96" spans="2:20" ht="13.8" x14ac:dyDescent="0.3">
      <c r="B96" s="587" t="s">
        <v>207</v>
      </c>
      <c r="C96" s="588"/>
      <c r="D96" s="43">
        <f t="shared" ref="D96:D99" si="15">+VLOOKUP(B96,$B$38:$E$42,3,FALSE)</f>
        <v>118.82481249999999</v>
      </c>
      <c r="E96" s="43">
        <f t="shared" ref="E96:E99" si="16">+VLOOKUP(B96,$B$38:$E$42,4,FALSE)</f>
        <v>1</v>
      </c>
      <c r="F96" s="44">
        <v>0.15</v>
      </c>
      <c r="G96" s="589">
        <f t="shared" ref="G96:G99" si="17">+D96*E96*F96</f>
        <v>17.823721874999997</v>
      </c>
      <c r="H96" s="589"/>
      <c r="I96" s="43">
        <f t="shared" ref="I96:I99" si="18">+VLOOKUP(B96,$B$38:$E$42,2,FALSE)</f>
        <v>1</v>
      </c>
      <c r="J96" s="154">
        <f t="shared" ref="J96:J98" si="19">+G96*I96</f>
        <v>17.823721874999997</v>
      </c>
      <c r="T96" s="2"/>
    </row>
    <row r="97" spans="2:20" ht="13.8" x14ac:dyDescent="0.3">
      <c r="B97" s="587" t="s">
        <v>22</v>
      </c>
      <c r="C97" s="588"/>
      <c r="D97" s="43">
        <f t="shared" si="15"/>
        <v>128.82481250000001</v>
      </c>
      <c r="E97" s="43">
        <f t="shared" si="16"/>
        <v>0.2</v>
      </c>
      <c r="F97" s="137">
        <v>0.15</v>
      </c>
      <c r="G97" s="589">
        <f t="shared" si="17"/>
        <v>3.8647443750000003</v>
      </c>
      <c r="H97" s="589"/>
      <c r="I97" s="43">
        <f t="shared" si="18"/>
        <v>1</v>
      </c>
      <c r="J97" s="154">
        <f>+G97*I97</f>
        <v>3.8647443750000003</v>
      </c>
      <c r="T97" s="2"/>
    </row>
    <row r="98" spans="2:20" ht="13.8" x14ac:dyDescent="0.3">
      <c r="B98" s="587" t="s">
        <v>16</v>
      </c>
      <c r="C98" s="588"/>
      <c r="D98" s="43">
        <f t="shared" si="15"/>
        <v>128.82481250000001</v>
      </c>
      <c r="E98" s="43">
        <f t="shared" si="16"/>
        <v>0.85</v>
      </c>
      <c r="F98" s="44">
        <v>0.15</v>
      </c>
      <c r="G98" s="589">
        <f t="shared" si="17"/>
        <v>16.42516359375</v>
      </c>
      <c r="H98" s="589"/>
      <c r="I98" s="43">
        <f t="shared" si="18"/>
        <v>1</v>
      </c>
      <c r="J98" s="154">
        <f t="shared" si="19"/>
        <v>16.42516359375</v>
      </c>
      <c r="T98" s="2"/>
    </row>
    <row r="99" spans="2:20" ht="13.8" x14ac:dyDescent="0.3">
      <c r="B99" s="590" t="s">
        <v>33</v>
      </c>
      <c r="C99" s="591"/>
      <c r="D99" s="156">
        <f t="shared" si="15"/>
        <v>3</v>
      </c>
      <c r="E99" s="156">
        <f t="shared" si="16"/>
        <v>0.2</v>
      </c>
      <c r="F99" s="155">
        <v>0.15</v>
      </c>
      <c r="G99" s="594">
        <f t="shared" si="17"/>
        <v>9.0000000000000011E-2</v>
      </c>
      <c r="H99" s="594"/>
      <c r="I99" s="156">
        <f t="shared" si="18"/>
        <v>66</v>
      </c>
      <c r="J99" s="168">
        <f>+G99*I99</f>
        <v>5.94</v>
      </c>
      <c r="T99" s="2"/>
    </row>
    <row r="100" spans="2:20" ht="13.8" x14ac:dyDescent="0.3">
      <c r="J100" s="157">
        <f>ROUND(SUM(J95:J99),0)</f>
        <v>82</v>
      </c>
      <c r="T100" s="2"/>
    </row>
    <row r="102" spans="2:20" ht="13.8" x14ac:dyDescent="0.3">
      <c r="T102" s="2"/>
    </row>
    <row r="103" spans="2:20" ht="15.75" customHeight="1" x14ac:dyDescent="0.3">
      <c r="B103" s="150" t="s">
        <v>199</v>
      </c>
      <c r="C103" s="578" t="s">
        <v>118</v>
      </c>
      <c r="D103" s="579"/>
      <c r="E103" s="579"/>
      <c r="F103" s="579"/>
      <c r="G103" s="579"/>
      <c r="H103" s="579"/>
      <c r="I103" s="580"/>
      <c r="J103" s="146" t="s">
        <v>119</v>
      </c>
      <c r="T103" s="2"/>
    </row>
    <row r="104" spans="2:20" ht="28.5" customHeight="1" x14ac:dyDescent="0.3">
      <c r="B104" s="151">
        <f>+'Item de Pago'!B16</f>
        <v>1.6</v>
      </c>
      <c r="C104" s="584" t="str">
        <f>IF($B104=0,"",VLOOKUP($B104,'Item de Pago'!$B$2:$F$37,2,FALSE))</f>
        <v>CONCRETO DE 210 KG/CM² (3.000 PSI), ESPESOR 0,15 M - PLACAS HUELLAS Y VIGAS RIOSTRAS</v>
      </c>
      <c r="D104" s="585"/>
      <c r="E104" s="585"/>
      <c r="F104" s="585"/>
      <c r="G104" s="585"/>
      <c r="H104" s="585"/>
      <c r="I104" s="586"/>
      <c r="J104" s="151" t="str">
        <f>IF($B104=0,"",VLOOKUP($B104,'Item de Pago'!$B$2:$F$37,4,FALSE))</f>
        <v>M3</v>
      </c>
      <c r="T104" s="2"/>
    </row>
    <row r="105" spans="2:20" ht="4.5" customHeight="1" x14ac:dyDescent="0.3"/>
    <row r="106" spans="2:20" ht="41.4" x14ac:dyDescent="0.3">
      <c r="B106" s="595" t="s">
        <v>29</v>
      </c>
      <c r="C106" s="596"/>
      <c r="D106" s="152" t="s">
        <v>27</v>
      </c>
      <c r="E106" s="152" t="s">
        <v>28</v>
      </c>
      <c r="F106" s="152" t="s">
        <v>120</v>
      </c>
      <c r="G106" s="596" t="s">
        <v>121</v>
      </c>
      <c r="H106" s="596"/>
      <c r="I106" s="152" t="s">
        <v>122</v>
      </c>
      <c r="J106" s="153" t="s">
        <v>15</v>
      </c>
    </row>
    <row r="107" spans="2:20" ht="13.8" x14ac:dyDescent="0.3">
      <c r="B107" s="587" t="s">
        <v>23</v>
      </c>
      <c r="C107" s="588"/>
      <c r="D107" s="43">
        <f>+VLOOKUP(B107,$B$38:$E$42,3,FALSE)</f>
        <v>118.82481249999999</v>
      </c>
      <c r="E107" s="43">
        <f>+VLOOKUP(B107,$B$38:$E$42,4,FALSE)</f>
        <v>1.075</v>
      </c>
      <c r="F107" s="137">
        <v>0.15</v>
      </c>
      <c r="G107" s="589">
        <f>+D107*E107*F107</f>
        <v>19.160501015624998</v>
      </c>
      <c r="H107" s="589"/>
      <c r="I107" s="43">
        <f>+VLOOKUP(B107,$B$38:$E$42,2,FALSE)</f>
        <v>2</v>
      </c>
      <c r="J107" s="154">
        <f>+G107*I107</f>
        <v>38.321002031249996</v>
      </c>
      <c r="T107" s="2"/>
    </row>
    <row r="108" spans="2:20" ht="13.8" x14ac:dyDescent="0.3">
      <c r="B108" s="590" t="s">
        <v>33</v>
      </c>
      <c r="C108" s="591"/>
      <c r="D108" s="156">
        <f t="shared" ref="D108" si="20">+VLOOKUP(B108,$B$38:$E$42,3,FALSE)</f>
        <v>3</v>
      </c>
      <c r="E108" s="156">
        <f t="shared" ref="E108" si="21">+VLOOKUP(B108,$B$38:$E$42,4,FALSE)</f>
        <v>0.2</v>
      </c>
      <c r="F108" s="155">
        <v>0.3</v>
      </c>
      <c r="G108" s="594">
        <f t="shared" ref="G108" si="22">+D108*E108*F108</f>
        <v>0.18000000000000002</v>
      </c>
      <c r="H108" s="594"/>
      <c r="I108" s="156">
        <f t="shared" ref="I108" si="23">+VLOOKUP(B108,$B$38:$E$42,2,FALSE)</f>
        <v>66</v>
      </c>
      <c r="J108" s="168">
        <f>+G108*I108</f>
        <v>11.88</v>
      </c>
      <c r="T108" s="2"/>
    </row>
    <row r="109" spans="2:20" ht="13.8" x14ac:dyDescent="0.3">
      <c r="J109" s="157">
        <f>ROUND(SUM(J107:J108),0)</f>
        <v>50</v>
      </c>
      <c r="T109" s="2"/>
    </row>
    <row r="112" spans="2:20" ht="15.75" customHeight="1" x14ac:dyDescent="0.3">
      <c r="B112" s="150" t="s">
        <v>199</v>
      </c>
      <c r="C112" s="578" t="s">
        <v>118</v>
      </c>
      <c r="D112" s="579"/>
      <c r="E112" s="579"/>
      <c r="F112" s="579"/>
      <c r="G112" s="579"/>
      <c r="H112" s="579"/>
      <c r="I112" s="580"/>
      <c r="J112" s="146" t="s">
        <v>119</v>
      </c>
      <c r="T112" s="2"/>
    </row>
    <row r="113" spans="2:20" ht="28.5" customHeight="1" x14ac:dyDescent="0.3">
      <c r="B113" s="151">
        <v>1.7</v>
      </c>
      <c r="C113" s="584" t="str">
        <f>IF($B113=0,"",VLOOKUP($B113,'Item de Pago'!$B$2:$F$37,2,FALSE))</f>
        <v>CONCRETO CICLÓPEO ESPESOR 0,15 M (60% CONCRETO 3000 PSI Y 40% PIEDRA DE MANO)</v>
      </c>
      <c r="D113" s="585"/>
      <c r="E113" s="585"/>
      <c r="F113" s="585"/>
      <c r="G113" s="585"/>
      <c r="H113" s="585"/>
      <c r="I113" s="586"/>
      <c r="J113" s="151" t="str">
        <f>IF($B113=0,"",VLOOKUP($B113,'Item de Pago'!$B$2:$F$37,4,FALSE))</f>
        <v>M3</v>
      </c>
      <c r="T113" s="2"/>
    </row>
    <row r="114" spans="2:20" ht="4.5" customHeight="1" x14ac:dyDescent="0.3"/>
    <row r="115" spans="2:20" ht="41.4" x14ac:dyDescent="0.3">
      <c r="B115" s="595" t="s">
        <v>29</v>
      </c>
      <c r="C115" s="596"/>
      <c r="D115" s="152" t="s">
        <v>27</v>
      </c>
      <c r="E115" s="152" t="s">
        <v>28</v>
      </c>
      <c r="F115" s="152" t="s">
        <v>120</v>
      </c>
      <c r="G115" s="596" t="s">
        <v>121</v>
      </c>
      <c r="H115" s="596"/>
      <c r="I115" s="152" t="s">
        <v>122</v>
      </c>
      <c r="J115" s="153" t="s">
        <v>15</v>
      </c>
    </row>
    <row r="116" spans="2:20" ht="13.8" x14ac:dyDescent="0.3">
      <c r="B116" s="590" t="s">
        <v>207</v>
      </c>
      <c r="C116" s="591"/>
      <c r="D116" s="156">
        <f>+VLOOKUP(B116,$B$38:$E$42,3,FALSE)</f>
        <v>118.82481249999999</v>
      </c>
      <c r="E116" s="156">
        <f>+VLOOKUP(B116,$B$38:$E$42,4,FALSE)</f>
        <v>1</v>
      </c>
      <c r="F116" s="178">
        <v>0.15</v>
      </c>
      <c r="G116" s="594">
        <f>+D116*E116*F116</f>
        <v>17.823721874999997</v>
      </c>
      <c r="H116" s="594"/>
      <c r="I116" s="156">
        <f>+VLOOKUP(B116,$B$38:$E$42,2,FALSE)</f>
        <v>1</v>
      </c>
      <c r="J116" s="168">
        <f>+G116*I116</f>
        <v>17.823721874999997</v>
      </c>
      <c r="T116" s="2"/>
    </row>
    <row r="117" spans="2:20" ht="13.8" x14ac:dyDescent="0.3">
      <c r="J117" s="175">
        <f>ROUND(SUM(J116:J116),0)</f>
        <v>18</v>
      </c>
      <c r="T117" s="2"/>
    </row>
    <row r="119" spans="2:20" ht="13.8" x14ac:dyDescent="0.3">
      <c r="T119" s="2"/>
    </row>
    <row r="120" spans="2:20" ht="15.75" customHeight="1" x14ac:dyDescent="0.3">
      <c r="B120" s="150" t="s">
        <v>199</v>
      </c>
      <c r="C120" s="578" t="s">
        <v>118</v>
      </c>
      <c r="D120" s="579"/>
      <c r="E120" s="579"/>
      <c r="F120" s="579"/>
      <c r="G120" s="579"/>
      <c r="H120" s="579"/>
      <c r="I120" s="580"/>
      <c r="J120" s="146" t="s">
        <v>119</v>
      </c>
      <c r="T120" s="2"/>
    </row>
    <row r="121" spans="2:20" ht="31.5" customHeight="1" x14ac:dyDescent="0.3">
      <c r="B121" s="151">
        <v>1.8</v>
      </c>
      <c r="C121" s="584" t="str">
        <f>IF($B121=0,"",VLOOKUP($B121,'Item de Pago'!$B$2:$F$37,2,FALSE))</f>
        <v>ACERO DE REFUERZO 4.200 KG/CM²  (60.000 PSI) PARA PLACAS Y RIOSTRAS. (INCLUYE ALAMBRE NEGRO Y FIGURACION)</v>
      </c>
      <c r="D121" s="585"/>
      <c r="E121" s="585"/>
      <c r="F121" s="585"/>
      <c r="G121" s="585"/>
      <c r="H121" s="585"/>
      <c r="I121" s="586"/>
      <c r="J121" s="151" t="str">
        <f>IF($B121=0,"",VLOOKUP($B121,'Item de Pago'!$B$2:$F$37,4,FALSE))</f>
        <v>KG</v>
      </c>
      <c r="T121" s="2"/>
    </row>
    <row r="122" spans="2:20" ht="4.5" customHeight="1" x14ac:dyDescent="0.3">
      <c r="D122" s="2"/>
      <c r="E122" s="2"/>
      <c r="F122" s="2"/>
      <c r="T122" s="2"/>
    </row>
    <row r="123" spans="2:20" ht="41.4" x14ac:dyDescent="0.3">
      <c r="B123" s="595" t="s">
        <v>29</v>
      </c>
      <c r="C123" s="596"/>
      <c r="D123" s="152" t="s">
        <v>27</v>
      </c>
      <c r="E123" s="152" t="s">
        <v>28</v>
      </c>
      <c r="F123" s="152" t="s">
        <v>123</v>
      </c>
      <c r="G123" s="152" t="s">
        <v>124</v>
      </c>
      <c r="H123" s="152" t="s">
        <v>121</v>
      </c>
      <c r="I123" s="152" t="s">
        <v>122</v>
      </c>
      <c r="J123" s="153" t="s">
        <v>15</v>
      </c>
    </row>
    <row r="124" spans="2:20" x14ac:dyDescent="0.3">
      <c r="B124" s="602" t="s">
        <v>23</v>
      </c>
      <c r="C124" s="47" t="s">
        <v>24</v>
      </c>
      <c r="D124" s="43">
        <f>+J38+0.3</f>
        <v>129.12481250000002</v>
      </c>
      <c r="E124" s="45"/>
      <c r="F124" s="46">
        <v>6</v>
      </c>
      <c r="G124" s="183">
        <v>0.99399999999999999</v>
      </c>
      <c r="H124" s="177">
        <f t="shared" ref="H124:H129" si="24">+D124*F124*G124</f>
        <v>770.10038175000011</v>
      </c>
      <c r="I124" s="43">
        <f>+VLOOKUP($B$124,$B$38:$E$42,2,FALSE)</f>
        <v>2</v>
      </c>
      <c r="J124" s="163">
        <f t="shared" ref="J124:J133" si="25">+H124*I124</f>
        <v>1540.2007635000002</v>
      </c>
    </row>
    <row r="125" spans="2:20" x14ac:dyDescent="0.3">
      <c r="B125" s="604"/>
      <c r="C125" s="47" t="s">
        <v>25</v>
      </c>
      <c r="D125" s="43">
        <f>+$E$38+0.1</f>
        <v>1.175</v>
      </c>
      <c r="E125" s="43"/>
      <c r="F125" s="44">
        <f>ROUNDUP($D$38/0.2,0)</f>
        <v>595</v>
      </c>
      <c r="G125" s="181">
        <v>0.56000000000000005</v>
      </c>
      <c r="H125" s="177">
        <f t="shared" si="24"/>
        <v>391.51000000000005</v>
      </c>
      <c r="I125" s="43">
        <f>+VLOOKUP($B$124,$B$38:$E$42,2,FALSE)</f>
        <v>2</v>
      </c>
      <c r="J125" s="154">
        <f t="shared" si="25"/>
        <v>783.0200000000001</v>
      </c>
    </row>
    <row r="126" spans="2:20" x14ac:dyDescent="0.3">
      <c r="B126" s="602" t="s">
        <v>208</v>
      </c>
      <c r="C126" s="47" t="s">
        <v>24</v>
      </c>
      <c r="D126" s="43">
        <f>+VLOOKUP(B126,$B$38:$E$43,3,FALSE)</f>
        <v>128.82481250000001</v>
      </c>
      <c r="E126" s="43"/>
      <c r="F126" s="44">
        <v>1</v>
      </c>
      <c r="G126" s="181">
        <f>G125</f>
        <v>0.56000000000000005</v>
      </c>
      <c r="H126" s="177">
        <f t="shared" si="24"/>
        <v>72.141895000000005</v>
      </c>
      <c r="I126" s="43">
        <f>+VLOOKUP($B$126,$B$38:$E$43,2,FALSE)</f>
        <v>1</v>
      </c>
      <c r="J126" s="154">
        <f t="shared" si="25"/>
        <v>72.141895000000005</v>
      </c>
    </row>
    <row r="127" spans="2:20" x14ac:dyDescent="0.3">
      <c r="B127" s="604"/>
      <c r="C127" s="47" t="s">
        <v>209</v>
      </c>
      <c r="D127" s="43">
        <v>0.3</v>
      </c>
      <c r="E127" s="43"/>
      <c r="F127" s="44">
        <f>ROUNDUP($D$126/0.15,0)</f>
        <v>859</v>
      </c>
      <c r="G127" s="181">
        <f>+G125</f>
        <v>0.56000000000000005</v>
      </c>
      <c r="H127" s="177">
        <f t="shared" si="24"/>
        <v>144.31200000000001</v>
      </c>
      <c r="I127" s="43">
        <f>+VLOOKUP($B$126,$B$38:$E$43,2,FALSE)</f>
        <v>1</v>
      </c>
      <c r="J127" s="154">
        <f t="shared" si="25"/>
        <v>144.31200000000001</v>
      </c>
    </row>
    <row r="128" spans="2:20" x14ac:dyDescent="0.3">
      <c r="B128" s="602" t="s">
        <v>22</v>
      </c>
      <c r="C128" s="47" t="s">
        <v>24</v>
      </c>
      <c r="D128" s="43">
        <f>+VLOOKUP(B128,$B$38:$E$43,3,FALSE)</f>
        <v>128.82481250000001</v>
      </c>
      <c r="E128" s="43"/>
      <c r="F128" s="44">
        <v>2</v>
      </c>
      <c r="G128" s="184">
        <f>+G124</f>
        <v>0.99399999999999999</v>
      </c>
      <c r="H128" s="177">
        <f t="shared" si="24"/>
        <v>256.10372725000002</v>
      </c>
      <c r="I128" s="44">
        <v>1</v>
      </c>
      <c r="J128" s="154">
        <f t="shared" si="25"/>
        <v>256.10372725000002</v>
      </c>
    </row>
    <row r="129" spans="2:20" x14ac:dyDescent="0.3">
      <c r="B129" s="604"/>
      <c r="C129" s="47" t="s">
        <v>25</v>
      </c>
      <c r="D129" s="44">
        <v>0.4</v>
      </c>
      <c r="E129" s="43"/>
      <c r="F129" s="44">
        <f>+D128/0.15</f>
        <v>858.83208333333346</v>
      </c>
      <c r="G129" s="181">
        <f>+G127</f>
        <v>0.56000000000000005</v>
      </c>
      <c r="H129" s="177">
        <f t="shared" si="24"/>
        <v>192.37838666666673</v>
      </c>
      <c r="I129" s="44">
        <v>1</v>
      </c>
      <c r="J129" s="154">
        <f t="shared" si="25"/>
        <v>192.37838666666673</v>
      </c>
    </row>
    <row r="130" spans="2:20" x14ac:dyDescent="0.3">
      <c r="B130" s="602" t="s">
        <v>16</v>
      </c>
      <c r="C130" s="47" t="s">
        <v>26</v>
      </c>
      <c r="D130" s="43">
        <f>+VLOOKUP(B130,$B$38:$E$43,3,FALSE)</f>
        <v>128.82481250000001</v>
      </c>
      <c r="E130" s="43"/>
      <c r="F130" s="44">
        <v>5</v>
      </c>
      <c r="G130" s="184">
        <f>+G128</f>
        <v>0.99399999999999999</v>
      </c>
      <c r="H130" s="177">
        <f t="shared" ref="H130:H133" si="26">+D130*F130*G130</f>
        <v>640.25931812500005</v>
      </c>
      <c r="I130" s="44">
        <v>1</v>
      </c>
      <c r="J130" s="154">
        <f t="shared" si="25"/>
        <v>640.25931812500005</v>
      </c>
    </row>
    <row r="131" spans="2:20" x14ac:dyDescent="0.3">
      <c r="B131" s="604"/>
      <c r="C131" s="47" t="s">
        <v>25</v>
      </c>
      <c r="D131" s="44">
        <v>0.81</v>
      </c>
      <c r="E131" s="43"/>
      <c r="F131" s="44">
        <f>ROUNDUP(D130/0.2,0)</f>
        <v>645</v>
      </c>
      <c r="G131" s="181">
        <f>+G125</f>
        <v>0.56000000000000005</v>
      </c>
      <c r="H131" s="177">
        <f t="shared" si="26"/>
        <v>292.57200000000006</v>
      </c>
      <c r="I131" s="44">
        <v>1</v>
      </c>
      <c r="J131" s="154">
        <f t="shared" si="25"/>
        <v>292.57200000000006</v>
      </c>
    </row>
    <row r="132" spans="2:20" x14ac:dyDescent="0.3">
      <c r="B132" s="602" t="s">
        <v>33</v>
      </c>
      <c r="C132" s="47" t="s">
        <v>26</v>
      </c>
      <c r="D132" s="43">
        <f>+VLOOKUP(B132,$B$38:$E$43,3,FALSE)</f>
        <v>3</v>
      </c>
      <c r="E132" s="43"/>
      <c r="F132" s="44">
        <v>4</v>
      </c>
      <c r="G132" s="181">
        <f>+G130</f>
        <v>0.99399999999999999</v>
      </c>
      <c r="H132" s="177">
        <f t="shared" si="26"/>
        <v>11.928000000000001</v>
      </c>
      <c r="I132" s="43">
        <f>+VLOOKUP($B$132,$B$38:$E$42,2,FALSE)</f>
        <v>66</v>
      </c>
      <c r="J132" s="154">
        <f t="shared" si="25"/>
        <v>787.24800000000005</v>
      </c>
    </row>
    <row r="133" spans="2:20" x14ac:dyDescent="0.3">
      <c r="B133" s="611"/>
      <c r="C133" s="166" t="s">
        <v>25</v>
      </c>
      <c r="D133" s="155">
        <v>0.67</v>
      </c>
      <c r="E133" s="156"/>
      <c r="F133" s="155">
        <f>+D132/0.15</f>
        <v>20</v>
      </c>
      <c r="G133" s="180">
        <f>+G131</f>
        <v>0.56000000000000005</v>
      </c>
      <c r="H133" s="182">
        <f t="shared" si="26"/>
        <v>7.5040000000000013</v>
      </c>
      <c r="I133" s="156">
        <f>+VLOOKUP($B$132,$B$38:$E$42,2,FALSE)</f>
        <v>66</v>
      </c>
      <c r="J133" s="168">
        <f t="shared" si="25"/>
        <v>495.26400000000007</v>
      </c>
    </row>
    <row r="134" spans="2:20" x14ac:dyDescent="0.3">
      <c r="J134" s="175">
        <f>ROUND(SUM(J124:J133),0)</f>
        <v>5204</v>
      </c>
    </row>
    <row r="137" spans="2:20" ht="15.75" customHeight="1" x14ac:dyDescent="0.3">
      <c r="B137" s="150" t="s">
        <v>199</v>
      </c>
      <c r="C137" s="578" t="s">
        <v>118</v>
      </c>
      <c r="D137" s="579"/>
      <c r="E137" s="579"/>
      <c r="F137" s="579"/>
      <c r="G137" s="579"/>
      <c r="H137" s="579"/>
      <c r="I137" s="580"/>
      <c r="J137" s="146" t="s">
        <v>119</v>
      </c>
      <c r="T137" s="2"/>
    </row>
    <row r="138" spans="2:20" ht="28.5" customHeight="1" x14ac:dyDescent="0.3">
      <c r="B138" s="151">
        <v>1.9</v>
      </c>
      <c r="C138" s="584" t="str">
        <f>IF($B138=0,"",VLOOKUP($B138,'Item de Pago'!$B$2:$F$37,2,FALSE))</f>
        <v>CUNETA Y BORDILLO PARA VÍA VEHICULAR CONCRETO CLASE II PRODUCIDO EN OBRA</v>
      </c>
      <c r="D138" s="585"/>
      <c r="E138" s="585"/>
      <c r="F138" s="585"/>
      <c r="G138" s="585"/>
      <c r="H138" s="585"/>
      <c r="I138" s="586"/>
      <c r="J138" s="151" t="str">
        <f>IF($B138=0,"",VLOOKUP($B138,'Item de Pago'!$B$2:$F$37,4,FALSE))</f>
        <v>M3</v>
      </c>
      <c r="T138" s="2"/>
    </row>
    <row r="139" spans="2:20" ht="4.5" customHeight="1" x14ac:dyDescent="0.3"/>
    <row r="140" spans="2:20" ht="41.4" x14ac:dyDescent="0.3">
      <c r="B140" s="595" t="s">
        <v>29</v>
      </c>
      <c r="C140" s="596"/>
      <c r="D140" s="152" t="s">
        <v>27</v>
      </c>
      <c r="E140" s="152" t="s">
        <v>28</v>
      </c>
      <c r="F140" s="152" t="s">
        <v>120</v>
      </c>
      <c r="G140" s="596" t="s">
        <v>121</v>
      </c>
      <c r="H140" s="596"/>
      <c r="I140" s="152" t="s">
        <v>122</v>
      </c>
      <c r="J140" s="153" t="s">
        <v>15</v>
      </c>
    </row>
    <row r="141" spans="2:20" ht="15" customHeight="1" x14ac:dyDescent="0.3">
      <c r="B141" s="587" t="s">
        <v>16</v>
      </c>
      <c r="C141" s="588"/>
      <c r="D141" s="43">
        <f>+VLOOKUP(B141,$B$38:$E$43,3,FALSE)</f>
        <v>128.82481250000001</v>
      </c>
      <c r="E141" s="43">
        <v>0.81</v>
      </c>
      <c r="F141" s="137">
        <v>0.15</v>
      </c>
      <c r="G141" s="589">
        <f>+D141*E141*F141</f>
        <v>15.652214718750001</v>
      </c>
      <c r="H141" s="589"/>
      <c r="I141" s="43">
        <f>+VLOOKUP(B141,$B$38:$E$42,2,FALSE)</f>
        <v>1</v>
      </c>
      <c r="J141" s="154">
        <f>+G141*I141</f>
        <v>15.652214718750001</v>
      </c>
      <c r="T141" s="2"/>
    </row>
    <row r="142" spans="2:20" ht="15" customHeight="1" x14ac:dyDescent="0.3">
      <c r="B142" s="605" t="s">
        <v>22</v>
      </c>
      <c r="C142" s="606"/>
      <c r="D142" s="43">
        <f>+VLOOKUP(B142,$B$38:$E$43,3,FALSE)</f>
        <v>128.82481250000001</v>
      </c>
      <c r="E142" s="43">
        <v>0.2</v>
      </c>
      <c r="F142" s="44">
        <v>0.15</v>
      </c>
      <c r="G142" s="589">
        <f>+D142*E142*F142</f>
        <v>3.8647443750000003</v>
      </c>
      <c r="H142" s="589"/>
      <c r="I142" s="43">
        <f t="shared" ref="I142" si="27">+VLOOKUP(B142,$B$38:$E$42,2,FALSE)</f>
        <v>1</v>
      </c>
      <c r="J142" s="154">
        <f>+G142*I142</f>
        <v>3.8647443750000003</v>
      </c>
      <c r="T142" s="2"/>
    </row>
    <row r="143" spans="2:20" ht="15" customHeight="1" x14ac:dyDescent="0.3">
      <c r="B143" s="607"/>
      <c r="C143" s="608"/>
      <c r="D143" s="156">
        <f>+VLOOKUP(B142,$B$38:$E$43,3,FALSE)</f>
        <v>128.82481250000001</v>
      </c>
      <c r="E143" s="156">
        <f>+(0.2+0.15)/2</f>
        <v>0.17499999999999999</v>
      </c>
      <c r="F143" s="155">
        <v>0.25</v>
      </c>
      <c r="G143" s="594">
        <f>+D143*E143*F143</f>
        <v>5.636085546875</v>
      </c>
      <c r="H143" s="594"/>
      <c r="I143" s="156">
        <f>+VLOOKUP(B142,$B$38:$E$42,2,FALSE)</f>
        <v>1</v>
      </c>
      <c r="J143" s="168">
        <f>+G143*I143</f>
        <v>5.636085546875</v>
      </c>
      <c r="T143" s="2"/>
    </row>
    <row r="144" spans="2:20" ht="13.8" x14ac:dyDescent="0.3">
      <c r="J144" s="175">
        <f>ROUND(SUM(J141:J143),0)</f>
        <v>25</v>
      </c>
      <c r="T144" s="2"/>
    </row>
    <row r="147" spans="2:20" ht="15.75" customHeight="1" x14ac:dyDescent="0.3">
      <c r="B147" s="150" t="s">
        <v>199</v>
      </c>
      <c r="C147" s="578" t="s">
        <v>118</v>
      </c>
      <c r="D147" s="579"/>
      <c r="E147" s="579"/>
      <c r="F147" s="579"/>
      <c r="G147" s="579"/>
      <c r="H147" s="579"/>
      <c r="I147" s="580"/>
      <c r="J147" s="146" t="s">
        <v>119</v>
      </c>
      <c r="T147" s="2"/>
    </row>
    <row r="148" spans="2:20" ht="28.5" customHeight="1" x14ac:dyDescent="0.3">
      <c r="B148" s="185">
        <v>1.1000000000000001</v>
      </c>
      <c r="C148" s="584" t="str">
        <f>IF($B148=0,"",VLOOKUP($B148,'Item de Pago'!B12:F37,2,FALSE))</f>
        <v>SARDINEL ANCHO = 20 CM H =  ENTRE  17 Y 24 CM  EN CONCRETO 3000 PSI</v>
      </c>
      <c r="D148" s="585"/>
      <c r="E148" s="585"/>
      <c r="F148" s="585"/>
      <c r="G148" s="585"/>
      <c r="H148" s="585"/>
      <c r="I148" s="586"/>
      <c r="J148" s="151" t="str">
        <f>IF($B148=0,"",VLOOKUP($B148,'Item de Pago'!$B$2:$F$37,4,FALSE))</f>
        <v>M2</v>
      </c>
      <c r="T148" s="2"/>
    </row>
    <row r="149" spans="2:20" ht="4.5" customHeight="1" x14ac:dyDescent="0.3"/>
    <row r="150" spans="2:20" ht="41.4" x14ac:dyDescent="0.3">
      <c r="B150" s="595" t="s">
        <v>29</v>
      </c>
      <c r="C150" s="596"/>
      <c r="D150" s="152" t="s">
        <v>27</v>
      </c>
      <c r="E150" s="152" t="s">
        <v>28</v>
      </c>
      <c r="F150" s="152" t="s">
        <v>120</v>
      </c>
      <c r="G150" s="596" t="s">
        <v>121</v>
      </c>
      <c r="H150" s="596"/>
      <c r="I150" s="152" t="s">
        <v>122</v>
      </c>
      <c r="J150" s="153" t="s">
        <v>15</v>
      </c>
    </row>
    <row r="151" spans="2:20" ht="15" customHeight="1" x14ac:dyDescent="0.3">
      <c r="B151" s="590" t="s">
        <v>208</v>
      </c>
      <c r="C151" s="591"/>
      <c r="D151" s="156">
        <f>+VLOOKUP(B151,$B$38:$E$43,3,FALSE)</f>
        <v>128.82481250000001</v>
      </c>
      <c r="E151" s="156">
        <v>0.15</v>
      </c>
      <c r="F151" s="178">
        <v>0.15</v>
      </c>
      <c r="G151" s="594">
        <f>+D151*E151*F151</f>
        <v>2.8985582812500001</v>
      </c>
      <c r="H151" s="594"/>
      <c r="I151" s="156">
        <f>+VLOOKUP(B151,$B$38:$E$43,2,FALSE)</f>
        <v>1</v>
      </c>
      <c r="J151" s="168">
        <f>+G151*I151</f>
        <v>2.8985582812500001</v>
      </c>
      <c r="T151" s="2"/>
    </row>
    <row r="152" spans="2:20" ht="13.8" x14ac:dyDescent="0.3">
      <c r="J152" s="175">
        <f>ROUND(SUM(J151:J151),0)</f>
        <v>3</v>
      </c>
      <c r="T152" s="2"/>
    </row>
    <row r="153" spans="2:20" ht="13.8" x14ac:dyDescent="0.3">
      <c r="D153" s="2"/>
      <c r="E153" s="2"/>
      <c r="F153" s="2"/>
      <c r="T153" s="2"/>
    </row>
    <row r="154" spans="2:20" ht="13.8" x14ac:dyDescent="0.3">
      <c r="D154" s="2"/>
      <c r="E154" s="2"/>
      <c r="F154" s="2"/>
      <c r="T154" s="2"/>
    </row>
    <row r="155" spans="2:20" ht="13.8" x14ac:dyDescent="0.25">
      <c r="B155" s="188" t="s">
        <v>146</v>
      </c>
      <c r="C155" s="187" t="str">
        <f>IF($B155=0,"",VLOOKUP($B155,'Item de Pago'!$B$2:$F$37,2,FALSE))</f>
        <v xml:space="preserve">CONSTRUCCIÓN DE OBRAS DE DRENAJE CON TUBERÍA Y CABEZALES </v>
      </c>
      <c r="D155" s="187"/>
      <c r="E155" s="187"/>
      <c r="F155" s="148"/>
      <c r="G155" s="148"/>
      <c r="H155" s="148"/>
      <c r="I155" s="148"/>
      <c r="J155" s="149"/>
      <c r="K155" s="3"/>
      <c r="T155" s="54"/>
    </row>
    <row r="156" spans="2:20" ht="4.5" customHeight="1" x14ac:dyDescent="0.3">
      <c r="D156" s="2"/>
      <c r="E156" s="2"/>
      <c r="F156" s="2"/>
      <c r="T156" s="2"/>
    </row>
    <row r="157" spans="2:20" ht="15.75" customHeight="1" x14ac:dyDescent="0.3">
      <c r="B157" s="150" t="s">
        <v>199</v>
      </c>
      <c r="C157" s="578" t="s">
        <v>118</v>
      </c>
      <c r="D157" s="579"/>
      <c r="E157" s="579"/>
      <c r="F157" s="579"/>
      <c r="G157" s="579"/>
      <c r="H157" s="579"/>
      <c r="I157" s="580"/>
      <c r="J157" s="146" t="s">
        <v>119</v>
      </c>
      <c r="T157" s="2"/>
    </row>
    <row r="158" spans="2:20" ht="13.8" x14ac:dyDescent="0.3">
      <c r="B158" s="151">
        <f>+'Item de Pago'!B23</f>
        <v>2.1</v>
      </c>
      <c r="C158" s="584" t="str">
        <f>IF($B158=0,"",VLOOKUP($B158,'Item de Pago'!$B$2:$F$37,2,FALSE))</f>
        <v>EXCAVACIÓN MANUAL 4,5 M * 2,1 M * 1,6 M PARA CABEZALES</v>
      </c>
      <c r="D158" s="585"/>
      <c r="E158" s="585"/>
      <c r="F158" s="585"/>
      <c r="G158" s="585"/>
      <c r="H158" s="585"/>
      <c r="I158" s="586"/>
      <c r="J158" s="151" t="str">
        <f>IF($B158=0,"",VLOOKUP($B158,'Item de Pago'!$B$2:$F$37,4,FALSE))</f>
        <v>M3</v>
      </c>
      <c r="T158" s="2"/>
    </row>
    <row r="159" spans="2:20" ht="4.5" customHeight="1" x14ac:dyDescent="0.3"/>
    <row r="160" spans="2:20" ht="41.4" x14ac:dyDescent="0.3">
      <c r="B160" s="595" t="s">
        <v>29</v>
      </c>
      <c r="C160" s="596"/>
      <c r="D160" s="152" t="s">
        <v>27</v>
      </c>
      <c r="E160" s="152" t="s">
        <v>28</v>
      </c>
      <c r="F160" s="152" t="s">
        <v>120</v>
      </c>
      <c r="G160" s="612" t="s">
        <v>121</v>
      </c>
      <c r="H160" s="613"/>
      <c r="I160" s="152" t="s">
        <v>122</v>
      </c>
      <c r="J160" s="153" t="s">
        <v>15</v>
      </c>
    </row>
    <row r="161" spans="2:20" ht="38.25" customHeight="1" x14ac:dyDescent="0.3">
      <c r="B161" s="609" t="s">
        <v>106</v>
      </c>
      <c r="C161" s="610"/>
      <c r="D161" s="167">
        <v>4.5</v>
      </c>
      <c r="E161" s="167">
        <v>2.1</v>
      </c>
      <c r="F161" s="167">
        <v>1.6</v>
      </c>
      <c r="G161" s="592">
        <f>+D161*E161*F161</f>
        <v>15.120000000000003</v>
      </c>
      <c r="H161" s="593"/>
      <c r="I161" s="189">
        <v>2</v>
      </c>
      <c r="J161" s="190">
        <f>+G161*I161</f>
        <v>30.240000000000006</v>
      </c>
      <c r="T161" s="2"/>
    </row>
    <row r="162" spans="2:20" ht="13.8" x14ac:dyDescent="0.3">
      <c r="D162" s="49"/>
      <c r="E162" s="50"/>
      <c r="F162" s="49"/>
      <c r="G162" s="36"/>
      <c r="H162" s="36"/>
      <c r="J162" s="175">
        <f>ROUND(SUM(J161:J161),0)</f>
        <v>30</v>
      </c>
      <c r="T162" s="2"/>
    </row>
    <row r="163" spans="2:20" ht="13.8" x14ac:dyDescent="0.3">
      <c r="D163" s="49"/>
      <c r="E163" s="50"/>
      <c r="F163" s="49"/>
      <c r="G163" s="36"/>
      <c r="H163" s="36"/>
      <c r="T163" s="2"/>
    </row>
    <row r="164" spans="2:20" ht="13.8" x14ac:dyDescent="0.3">
      <c r="D164" s="49"/>
      <c r="E164" s="50"/>
      <c r="F164" s="49"/>
      <c r="G164" s="36"/>
      <c r="H164" s="36"/>
      <c r="T164" s="2"/>
    </row>
    <row r="165" spans="2:20" ht="15.75" customHeight="1" x14ac:dyDescent="0.3">
      <c r="B165" s="150" t="s">
        <v>199</v>
      </c>
      <c r="C165" s="578" t="s">
        <v>118</v>
      </c>
      <c r="D165" s="579"/>
      <c r="E165" s="579"/>
      <c r="F165" s="579"/>
      <c r="G165" s="579"/>
      <c r="H165" s="579"/>
      <c r="I165" s="580"/>
      <c r="J165" s="146" t="s">
        <v>119</v>
      </c>
      <c r="T165" s="2"/>
    </row>
    <row r="166" spans="2:20" ht="13.8" x14ac:dyDescent="0.3">
      <c r="B166" s="151">
        <f>+'Item de Pago'!B24</f>
        <v>2.2000000000000002</v>
      </c>
      <c r="C166" s="584" t="str">
        <f>IF($B166=0,"",VLOOKUP($B166,'Item de Pago'!$B$2:$F$37,2,FALSE))</f>
        <v>CONCRETO RESISTENCIA 140 KG/CM² (2.000 PSI) PARA SOLADOS EN MUROS Y CABEZALES</v>
      </c>
      <c r="D166" s="585"/>
      <c r="E166" s="585"/>
      <c r="F166" s="585"/>
      <c r="G166" s="585"/>
      <c r="H166" s="585"/>
      <c r="I166" s="586"/>
      <c r="J166" s="151" t="str">
        <f>IF($B166=0,"",VLOOKUP($B166,'Item de Pago'!$B$2:$F$37,4,FALSE))</f>
        <v>M3</v>
      </c>
      <c r="T166" s="2"/>
    </row>
    <row r="167" spans="2:20" ht="4.5" customHeight="1" x14ac:dyDescent="0.3"/>
    <row r="168" spans="2:20" ht="41.4" x14ac:dyDescent="0.3">
      <c r="B168" s="595" t="s">
        <v>29</v>
      </c>
      <c r="C168" s="596"/>
      <c r="D168" s="152" t="s">
        <v>27</v>
      </c>
      <c r="E168" s="152" t="s">
        <v>28</v>
      </c>
      <c r="F168" s="152" t="s">
        <v>211</v>
      </c>
      <c r="G168" s="612" t="s">
        <v>121</v>
      </c>
      <c r="H168" s="613"/>
      <c r="I168" s="152" t="s">
        <v>122</v>
      </c>
      <c r="J168" s="153" t="s">
        <v>15</v>
      </c>
      <c r="M168" s="36"/>
    </row>
    <row r="169" spans="2:20" ht="15" customHeight="1" x14ac:dyDescent="0.3">
      <c r="B169" s="600" t="s">
        <v>125</v>
      </c>
      <c r="C169" s="48"/>
      <c r="D169" s="45">
        <v>2.95</v>
      </c>
      <c r="E169" s="45">
        <v>1.6</v>
      </c>
      <c r="F169" s="45">
        <v>0.05</v>
      </c>
      <c r="G169" s="614">
        <f>+D169*E169*F169</f>
        <v>0.23600000000000004</v>
      </c>
      <c r="H169" s="615"/>
      <c r="I169" s="46">
        <f>+$I$161</f>
        <v>2</v>
      </c>
      <c r="J169" s="163">
        <f>+G169*I169</f>
        <v>0.47200000000000009</v>
      </c>
      <c r="T169" s="2"/>
    </row>
    <row r="170" spans="2:20" ht="13.8" x14ac:dyDescent="0.3">
      <c r="B170" s="601"/>
      <c r="C170" s="47"/>
      <c r="D170" s="44">
        <v>0.47</v>
      </c>
      <c r="E170" s="43">
        <v>1.6</v>
      </c>
      <c r="F170" s="44">
        <v>0.05</v>
      </c>
      <c r="G170" s="614">
        <f t="shared" ref="G170:G173" si="28">+D170*E170*F170</f>
        <v>3.7600000000000001E-2</v>
      </c>
      <c r="H170" s="615"/>
      <c r="I170" s="46">
        <f t="shared" ref="I170:I173" si="29">+$I$161</f>
        <v>2</v>
      </c>
      <c r="J170" s="163">
        <f t="shared" ref="J170:J174" si="30">+G170*I170</f>
        <v>7.5200000000000003E-2</v>
      </c>
      <c r="M170" s="36"/>
      <c r="T170" s="2"/>
    </row>
    <row r="171" spans="2:20" ht="13.8" x14ac:dyDescent="0.3">
      <c r="B171" s="602" t="s">
        <v>126</v>
      </c>
      <c r="C171" s="47"/>
      <c r="D171" s="44">
        <v>1.1000000000000001</v>
      </c>
      <c r="E171" s="43">
        <v>1.35</v>
      </c>
      <c r="F171" s="44">
        <v>0.05</v>
      </c>
      <c r="G171" s="614">
        <f t="shared" si="28"/>
        <v>7.4250000000000024E-2</v>
      </c>
      <c r="H171" s="615"/>
      <c r="I171" s="46">
        <f t="shared" si="29"/>
        <v>2</v>
      </c>
      <c r="J171" s="163">
        <f t="shared" si="30"/>
        <v>0.14850000000000005</v>
      </c>
      <c r="T171" s="2"/>
    </row>
    <row r="172" spans="2:20" ht="13.8" x14ac:dyDescent="0.3">
      <c r="B172" s="603"/>
      <c r="C172" s="47"/>
      <c r="D172" s="44">
        <v>0.72</v>
      </c>
      <c r="E172" s="43">
        <v>1.65</v>
      </c>
      <c r="F172" s="44">
        <v>0.05</v>
      </c>
      <c r="G172" s="614">
        <f t="shared" si="28"/>
        <v>5.9400000000000001E-2</v>
      </c>
      <c r="H172" s="615"/>
      <c r="I172" s="46">
        <f t="shared" si="29"/>
        <v>2</v>
      </c>
      <c r="J172" s="163">
        <f t="shared" si="30"/>
        <v>0.1188</v>
      </c>
      <c r="L172" s="36"/>
      <c r="M172" s="36"/>
      <c r="T172" s="2"/>
    </row>
    <row r="173" spans="2:20" ht="13.8" x14ac:dyDescent="0.3">
      <c r="B173" s="604"/>
      <c r="C173" s="47"/>
      <c r="D173" s="44">
        <v>1.6</v>
      </c>
      <c r="E173" s="43">
        <v>1.65</v>
      </c>
      <c r="F173" s="44">
        <v>0.05</v>
      </c>
      <c r="G173" s="614">
        <f t="shared" si="28"/>
        <v>0.13200000000000001</v>
      </c>
      <c r="H173" s="615"/>
      <c r="I173" s="46">
        <f t="shared" si="29"/>
        <v>2</v>
      </c>
      <c r="J173" s="163">
        <f t="shared" si="30"/>
        <v>0.26400000000000001</v>
      </c>
      <c r="L173" s="36"/>
      <c r="M173" s="36"/>
      <c r="T173" s="2"/>
    </row>
    <row r="174" spans="2:20" ht="13.8" x14ac:dyDescent="0.3">
      <c r="B174" s="165" t="s">
        <v>127</v>
      </c>
      <c r="C174" s="166"/>
      <c r="D174" s="155">
        <v>0.45</v>
      </c>
      <c r="E174" s="156">
        <v>3.1415999999999999</v>
      </c>
      <c r="F174" s="155"/>
      <c r="G174" s="592"/>
      <c r="H174" s="593"/>
      <c r="I174" s="155"/>
      <c r="J174" s="190">
        <f t="shared" si="30"/>
        <v>0</v>
      </c>
      <c r="K174" s="36"/>
      <c r="T174" s="2"/>
    </row>
    <row r="175" spans="2:20" ht="13.8" x14ac:dyDescent="0.3">
      <c r="D175" s="49"/>
      <c r="E175" s="50"/>
      <c r="F175" s="49"/>
      <c r="G175" s="36"/>
      <c r="H175" s="36"/>
      <c r="J175" s="175">
        <f>ROUND(SUM(J169:J174),0)</f>
        <v>1</v>
      </c>
      <c r="T175" s="2"/>
    </row>
    <row r="176" spans="2:20" ht="13.8" x14ac:dyDescent="0.3">
      <c r="D176" s="49"/>
      <c r="E176" s="50"/>
      <c r="F176" s="49"/>
      <c r="G176" s="36"/>
      <c r="H176" s="36"/>
      <c r="T176" s="2"/>
    </row>
    <row r="177" spans="2:20" ht="13.8" x14ac:dyDescent="0.3">
      <c r="D177" s="49"/>
      <c r="E177" s="50"/>
      <c r="F177" s="49"/>
      <c r="G177" s="36"/>
      <c r="H177" s="36"/>
      <c r="T177" s="2"/>
    </row>
    <row r="178" spans="2:20" ht="15.75" customHeight="1" x14ac:dyDescent="0.3">
      <c r="B178" s="150" t="s">
        <v>199</v>
      </c>
      <c r="C178" s="578" t="s">
        <v>118</v>
      </c>
      <c r="D178" s="579"/>
      <c r="E178" s="579"/>
      <c r="F178" s="579"/>
      <c r="G178" s="579"/>
      <c r="H178" s="579"/>
      <c r="I178" s="580"/>
      <c r="J178" s="146" t="s">
        <v>119</v>
      </c>
      <c r="T178" s="2"/>
    </row>
    <row r="179" spans="2:20" ht="28.5" customHeight="1" x14ac:dyDescent="0.3">
      <c r="B179" s="151">
        <f>+'Item de Pago'!B25</f>
        <v>2.2999999999999998</v>
      </c>
      <c r="C179" s="584" t="str">
        <f>IF($B179=0,"",VLOOKUP($B179,'Item de Pago'!$B$2:$F$37,2,FALSE))</f>
        <v>CABEZAL DE ENTREGA DE AGUAS LLUVIAS EN CONCRETO DE 3000 PSI  250 mm (10"). (Incluye acero de refuerzo )</v>
      </c>
      <c r="D179" s="585"/>
      <c r="E179" s="585"/>
      <c r="F179" s="585"/>
      <c r="G179" s="585"/>
      <c r="H179" s="585"/>
      <c r="I179" s="586"/>
      <c r="J179" s="151" t="str">
        <f>IF($B179=0,"",VLOOKUP($B179,'Item de Pago'!$B$2:$F$37,4,FALSE))</f>
        <v>UND</v>
      </c>
      <c r="T179" s="2"/>
    </row>
    <row r="180" spans="2:20" ht="4.5" customHeight="1" x14ac:dyDescent="0.3"/>
    <row r="181" spans="2:20" ht="41.4" x14ac:dyDescent="0.3">
      <c r="B181" s="595" t="s">
        <v>29</v>
      </c>
      <c r="C181" s="596"/>
      <c r="D181" s="152" t="s">
        <v>27</v>
      </c>
      <c r="E181" s="152" t="s">
        <v>28</v>
      </c>
      <c r="F181" s="152" t="s">
        <v>120</v>
      </c>
      <c r="G181" s="596" t="s">
        <v>124</v>
      </c>
      <c r="H181" s="596" t="s">
        <v>121</v>
      </c>
      <c r="I181" s="152" t="s">
        <v>122</v>
      </c>
      <c r="J181" s="153" t="s">
        <v>15</v>
      </c>
    </row>
    <row r="182" spans="2:20" ht="13.8" x14ac:dyDescent="0.3">
      <c r="B182" s="601" t="s">
        <v>108</v>
      </c>
      <c r="C182" s="45"/>
      <c r="D182" s="45">
        <v>1.1000000000000001</v>
      </c>
      <c r="E182" s="45">
        <v>1.35</v>
      </c>
      <c r="F182" s="45">
        <v>0.25</v>
      </c>
      <c r="G182" s="51">
        <v>2</v>
      </c>
      <c r="H182" s="52">
        <f>+D182*E182*F182*G182</f>
        <v>0.74250000000000016</v>
      </c>
      <c r="I182" s="46">
        <f>+I161</f>
        <v>2</v>
      </c>
      <c r="J182" s="163">
        <f t="shared" ref="J182:J187" si="31">+H182*I182</f>
        <v>1.4850000000000003</v>
      </c>
      <c r="T182" s="2"/>
    </row>
    <row r="183" spans="2:20" ht="13.8" x14ac:dyDescent="0.3">
      <c r="B183" s="616"/>
      <c r="C183" s="44"/>
      <c r="D183" s="43">
        <v>0.72</v>
      </c>
      <c r="E183" s="44">
        <v>1.65</v>
      </c>
      <c r="F183" s="137">
        <v>0.25</v>
      </c>
      <c r="G183" s="43">
        <v>2</v>
      </c>
      <c r="H183" s="53">
        <f>+D183*E183*F183*G183</f>
        <v>0.59399999999999997</v>
      </c>
      <c r="I183" s="44">
        <f>+$I$161</f>
        <v>2</v>
      </c>
      <c r="J183" s="154">
        <f t="shared" si="31"/>
        <v>1.1879999999999999</v>
      </c>
      <c r="L183" s="36"/>
      <c r="M183" s="36"/>
      <c r="N183" s="36"/>
      <c r="T183" s="2"/>
    </row>
    <row r="184" spans="2:20" ht="13.8" x14ac:dyDescent="0.3">
      <c r="B184" s="164" t="s">
        <v>109</v>
      </c>
      <c r="C184" s="44"/>
      <c r="D184" s="43">
        <v>1.6</v>
      </c>
      <c r="E184" s="44">
        <v>1.65</v>
      </c>
      <c r="F184" s="137">
        <v>0.25</v>
      </c>
      <c r="G184" s="43">
        <v>1</v>
      </c>
      <c r="H184" s="53">
        <f t="shared" ref="H184:H187" si="32">+D184*E184*F184*G184</f>
        <v>0.66</v>
      </c>
      <c r="I184" s="44">
        <f t="shared" ref="I184:I187" si="33">+$I$161</f>
        <v>2</v>
      </c>
      <c r="J184" s="154">
        <f t="shared" si="31"/>
        <v>1.32</v>
      </c>
      <c r="T184" s="2"/>
    </row>
    <row r="185" spans="2:20" ht="13.8" x14ac:dyDescent="0.3">
      <c r="B185" s="587" t="s">
        <v>110</v>
      </c>
      <c r="C185" s="44"/>
      <c r="D185" s="43">
        <v>2.95</v>
      </c>
      <c r="E185" s="44">
        <v>1.6</v>
      </c>
      <c r="F185" s="137">
        <v>0.25</v>
      </c>
      <c r="G185" s="43">
        <v>1</v>
      </c>
      <c r="H185" s="53">
        <f t="shared" si="32"/>
        <v>1.1800000000000002</v>
      </c>
      <c r="I185" s="44">
        <f t="shared" si="33"/>
        <v>2</v>
      </c>
      <c r="J185" s="154">
        <f t="shared" si="31"/>
        <v>2.3600000000000003</v>
      </c>
      <c r="L185" s="36"/>
      <c r="M185" s="36"/>
      <c r="T185" s="2"/>
    </row>
    <row r="186" spans="2:20" ht="13.8" x14ac:dyDescent="0.3">
      <c r="B186" s="587"/>
      <c r="C186" s="44"/>
      <c r="D186" s="43">
        <v>0.47</v>
      </c>
      <c r="E186" s="44">
        <v>1.6</v>
      </c>
      <c r="F186" s="137">
        <v>0.25</v>
      </c>
      <c r="G186" s="43">
        <v>1</v>
      </c>
      <c r="H186" s="53">
        <f t="shared" si="32"/>
        <v>0.188</v>
      </c>
      <c r="I186" s="44">
        <f t="shared" si="33"/>
        <v>2</v>
      </c>
      <c r="J186" s="154">
        <f t="shared" si="31"/>
        <v>0.376</v>
      </c>
      <c r="L186" s="36"/>
      <c r="M186" s="36"/>
      <c r="T186" s="2"/>
    </row>
    <row r="187" spans="2:20" ht="13.8" x14ac:dyDescent="0.3">
      <c r="B187" s="164" t="s">
        <v>111</v>
      </c>
      <c r="C187" s="44"/>
      <c r="D187" s="43">
        <v>0.5</v>
      </c>
      <c r="E187" s="44">
        <v>0.72</v>
      </c>
      <c r="F187" s="137">
        <v>1.1000000000000001</v>
      </c>
      <c r="G187" s="45">
        <v>1</v>
      </c>
      <c r="H187" s="53">
        <f t="shared" si="32"/>
        <v>0.39600000000000002</v>
      </c>
      <c r="I187" s="44">
        <f t="shared" si="33"/>
        <v>2</v>
      </c>
      <c r="J187" s="154">
        <f t="shared" si="31"/>
        <v>0.79200000000000004</v>
      </c>
      <c r="T187" s="2"/>
    </row>
    <row r="188" spans="2:20" ht="13.8" x14ac:dyDescent="0.3">
      <c r="B188" s="169" t="s">
        <v>127</v>
      </c>
      <c r="C188" s="156"/>
      <c r="D188" s="156">
        <v>0.45</v>
      </c>
      <c r="E188" s="156">
        <v>3.1415999999999999</v>
      </c>
      <c r="F188" s="156">
        <v>0.25</v>
      </c>
      <c r="G188" s="156">
        <v>1</v>
      </c>
      <c r="H188" s="170">
        <f>+D188*D188*E188*F188*G188</f>
        <v>0.1590435</v>
      </c>
      <c r="I188" s="155">
        <f>-I161</f>
        <v>-2</v>
      </c>
      <c r="J188" s="168">
        <f t="shared" ref="J188" si="34">+H188*I188</f>
        <v>-0.31808700000000001</v>
      </c>
      <c r="T188" s="2"/>
    </row>
    <row r="189" spans="2:20" ht="13.8" x14ac:dyDescent="0.3">
      <c r="D189" s="49"/>
      <c r="E189" s="50"/>
      <c r="F189" s="49"/>
      <c r="G189" s="36"/>
      <c r="H189" s="36"/>
      <c r="J189" s="157">
        <f>ROUND(SUM(J182:J188),0)</f>
        <v>7</v>
      </c>
      <c r="T189" s="2"/>
    </row>
    <row r="190" spans="2:20" ht="13.8" x14ac:dyDescent="0.3">
      <c r="D190" s="49"/>
      <c r="E190" s="50"/>
      <c r="F190" s="49"/>
      <c r="G190" s="36"/>
      <c r="H190" s="36"/>
      <c r="T190" s="2"/>
    </row>
    <row r="191" spans="2:20" ht="13.8" x14ac:dyDescent="0.3">
      <c r="D191" s="49"/>
      <c r="E191" s="50"/>
      <c r="F191" s="49"/>
      <c r="G191" s="36"/>
      <c r="H191" s="36"/>
      <c r="T191" s="2"/>
    </row>
    <row r="192" spans="2:20" ht="15.75" customHeight="1" x14ac:dyDescent="0.3">
      <c r="B192" s="150" t="s">
        <v>199</v>
      </c>
      <c r="C192" s="578" t="s">
        <v>118</v>
      </c>
      <c r="D192" s="579"/>
      <c r="E192" s="579"/>
      <c r="F192" s="579"/>
      <c r="G192" s="579"/>
      <c r="H192" s="579"/>
      <c r="I192" s="580"/>
      <c r="J192" s="146" t="s">
        <v>119</v>
      </c>
      <c r="T192" s="2"/>
    </row>
    <row r="193" spans="2:20" ht="18" customHeight="1" x14ac:dyDescent="0.3">
      <c r="B193" s="151">
        <f>+'Item de Pago'!B26</f>
        <v>2.4</v>
      </c>
      <c r="C193" s="584" t="str">
        <f>IF($B193=0,"",VLOOKUP($B193,'Item de Pago'!$B$2:$F$37,2,FALSE))</f>
        <v>TUBERÍA DE DIÁMETRO (36" = 0,9 M) UNA POR CADA 100 M PARA ALCANTARILLAS</v>
      </c>
      <c r="D193" s="585"/>
      <c r="E193" s="585"/>
      <c r="F193" s="585"/>
      <c r="G193" s="585"/>
      <c r="H193" s="585"/>
      <c r="I193" s="586"/>
      <c r="J193" s="151" t="str">
        <f>IF($B193=0,"",VLOOKUP($B193,'Item de Pago'!$B$2:$F$37,4,FALSE))</f>
        <v>M</v>
      </c>
      <c r="T193" s="2"/>
    </row>
    <row r="194" spans="2:20" ht="4.5" customHeight="1" x14ac:dyDescent="0.3"/>
    <row r="195" spans="2:20" ht="41.4" x14ac:dyDescent="0.3">
      <c r="B195" s="595" t="s">
        <v>29</v>
      </c>
      <c r="C195" s="596"/>
      <c r="D195" s="152" t="s">
        <v>27</v>
      </c>
      <c r="E195" s="152" t="s">
        <v>28</v>
      </c>
      <c r="F195" s="152" t="s">
        <v>120</v>
      </c>
      <c r="G195" s="596" t="s">
        <v>124</v>
      </c>
      <c r="H195" s="596" t="s">
        <v>121</v>
      </c>
      <c r="I195" s="152" t="s">
        <v>122</v>
      </c>
      <c r="J195" s="153" t="s">
        <v>15</v>
      </c>
    </row>
    <row r="196" spans="2:20" s="33" customFormat="1" ht="13.8" x14ac:dyDescent="0.3">
      <c r="B196" s="609" t="str">
        <f>+C193</f>
        <v>TUBERÍA DE DIÁMETRO (36" = 0,9 M) UNA POR CADA 100 M PARA ALCANTARILLAS</v>
      </c>
      <c r="C196" s="610"/>
      <c r="D196" s="167">
        <v>6.5</v>
      </c>
      <c r="E196" s="167"/>
      <c r="F196" s="167"/>
      <c r="G196" s="171"/>
      <c r="H196" s="167">
        <f>+D196</f>
        <v>6.5</v>
      </c>
      <c r="I196" s="167">
        <v>1</v>
      </c>
      <c r="J196" s="172">
        <f>+H196*I196</f>
        <v>6.5</v>
      </c>
    </row>
    <row r="197" spans="2:20" ht="13.8" x14ac:dyDescent="0.3">
      <c r="D197" s="49"/>
      <c r="E197" s="50"/>
      <c r="F197" s="49"/>
      <c r="G197" s="36"/>
      <c r="H197" s="36"/>
      <c r="J197" s="157">
        <f>+J196</f>
        <v>6.5</v>
      </c>
      <c r="T197" s="2"/>
    </row>
    <row r="198" spans="2:20" ht="13.8" x14ac:dyDescent="0.3">
      <c r="D198" s="49"/>
      <c r="E198" s="50"/>
      <c r="F198" s="49"/>
      <c r="G198" s="36"/>
      <c r="H198" s="36"/>
      <c r="T198" s="2"/>
    </row>
    <row r="199" spans="2:20" ht="13.8" x14ac:dyDescent="0.3">
      <c r="D199" s="49"/>
      <c r="E199" s="50"/>
      <c r="F199" s="49"/>
      <c r="G199" s="36"/>
      <c r="H199" s="36"/>
      <c r="T199" s="2"/>
    </row>
    <row r="200" spans="2:20" ht="13.8" x14ac:dyDescent="0.3">
      <c r="D200" s="49"/>
      <c r="E200" s="50"/>
      <c r="F200" s="49"/>
      <c r="G200" s="36"/>
      <c r="H200" s="36"/>
      <c r="T200" s="2"/>
    </row>
    <row r="201" spans="2:20" ht="13.8" x14ac:dyDescent="0.3">
      <c r="D201" s="49"/>
      <c r="E201" s="50"/>
      <c r="F201" s="49"/>
      <c r="G201" s="36"/>
      <c r="H201" s="36"/>
      <c r="T201" s="2"/>
    </row>
    <row r="202" spans="2:20" ht="13.8" x14ac:dyDescent="0.3">
      <c r="D202" s="49"/>
      <c r="E202" s="50"/>
      <c r="F202" s="49"/>
      <c r="G202" s="36"/>
      <c r="H202" s="36"/>
      <c r="T202" s="2"/>
    </row>
    <row r="203" spans="2:20" ht="13.8" x14ac:dyDescent="0.3">
      <c r="D203" s="49"/>
      <c r="E203" s="50"/>
      <c r="F203" s="49"/>
      <c r="G203" s="36"/>
      <c r="H203" s="36"/>
      <c r="T203" s="2"/>
    </row>
    <row r="204" spans="2:20" ht="13.8" x14ac:dyDescent="0.3">
      <c r="D204" s="49"/>
      <c r="E204" s="50"/>
      <c r="F204" s="49"/>
      <c r="G204" s="36"/>
      <c r="H204" s="36"/>
      <c r="T204" s="2"/>
    </row>
    <row r="205" spans="2:20" ht="13.8" x14ac:dyDescent="0.3">
      <c r="D205" s="49"/>
      <c r="E205" s="50"/>
      <c r="F205" s="49"/>
      <c r="G205" s="36"/>
      <c r="H205" s="36"/>
      <c r="T205" s="2"/>
    </row>
    <row r="206" spans="2:20" x14ac:dyDescent="0.3">
      <c r="B206" s="58" t="s">
        <v>133</v>
      </c>
      <c r="C206" s="55"/>
      <c r="G206" s="58" t="s">
        <v>135</v>
      </c>
      <c r="H206" s="55"/>
      <c r="I206" s="55"/>
      <c r="J206" s="36"/>
      <c r="T206" s="2"/>
    </row>
    <row r="207" spans="2:20" x14ac:dyDescent="0.3">
      <c r="B207" s="60" t="s">
        <v>134</v>
      </c>
      <c r="C207" s="56"/>
      <c r="G207" s="60" t="s">
        <v>136</v>
      </c>
      <c r="H207" s="55"/>
      <c r="I207" s="55"/>
      <c r="J207" s="36"/>
      <c r="T207" s="2"/>
    </row>
    <row r="208" spans="2:20" x14ac:dyDescent="0.3">
      <c r="B208" s="59" t="s">
        <v>139</v>
      </c>
      <c r="C208" s="57"/>
      <c r="G208" s="59" t="s">
        <v>137</v>
      </c>
      <c r="H208" s="55"/>
      <c r="I208" s="55"/>
      <c r="J208" s="36"/>
      <c r="T208" s="2"/>
    </row>
    <row r="209" spans="2:20" x14ac:dyDescent="0.3">
      <c r="B209" s="58" t="s">
        <v>140</v>
      </c>
      <c r="C209" s="55"/>
      <c r="G209" s="58" t="s">
        <v>138</v>
      </c>
      <c r="H209" s="55"/>
      <c r="I209" s="55"/>
      <c r="J209" s="36"/>
      <c r="T209" s="2"/>
    </row>
    <row r="210" spans="2:20" ht="13.8" x14ac:dyDescent="0.3">
      <c r="D210" s="49"/>
      <c r="E210" s="50"/>
      <c r="F210" s="49"/>
      <c r="G210" s="36"/>
      <c r="H210" s="36"/>
      <c r="T210" s="2"/>
    </row>
    <row r="211" spans="2:20" ht="13.8" x14ac:dyDescent="0.3">
      <c r="D211" s="49"/>
      <c r="E211" s="50"/>
      <c r="F211" s="49"/>
      <c r="G211" s="36"/>
      <c r="H211" s="36"/>
      <c r="T211" s="2"/>
    </row>
    <row r="212" spans="2:20" ht="13.8" x14ac:dyDescent="0.3">
      <c r="D212" s="49"/>
      <c r="E212" s="50"/>
      <c r="F212" s="49"/>
      <c r="G212" s="36"/>
      <c r="H212" s="36"/>
      <c r="T212" s="2"/>
    </row>
    <row r="213" spans="2:20" ht="13.8" x14ac:dyDescent="0.3">
      <c r="D213" s="49"/>
      <c r="E213" s="50"/>
      <c r="F213" s="49"/>
      <c r="G213" s="36"/>
      <c r="H213" s="36"/>
      <c r="T213" s="2"/>
    </row>
    <row r="214" spans="2:20" ht="13.8" x14ac:dyDescent="0.3">
      <c r="D214" s="49"/>
      <c r="E214" s="50"/>
      <c r="F214" s="49"/>
      <c r="G214" s="36"/>
      <c r="H214" s="36"/>
      <c r="T214" s="2"/>
    </row>
    <row r="215" spans="2:20" ht="13.8" x14ac:dyDescent="0.3">
      <c r="D215" s="49"/>
      <c r="E215" s="50"/>
      <c r="F215" s="49"/>
      <c r="G215" s="36"/>
      <c r="H215" s="36"/>
      <c r="T215" s="2"/>
    </row>
    <row r="216" spans="2:20" ht="13.8" x14ac:dyDescent="0.3">
      <c r="D216" s="49"/>
      <c r="E216" s="50"/>
      <c r="F216" s="49"/>
      <c r="G216" s="36"/>
      <c r="H216" s="36"/>
      <c r="T216" s="2"/>
    </row>
    <row r="217" spans="2:20" ht="13.8" x14ac:dyDescent="0.3">
      <c r="D217" s="49"/>
      <c r="E217" s="50"/>
      <c r="F217" s="49"/>
      <c r="G217" s="36"/>
      <c r="H217" s="36"/>
      <c r="T217" s="2"/>
    </row>
    <row r="218" spans="2:20" ht="13.8" x14ac:dyDescent="0.3">
      <c r="D218" s="49"/>
      <c r="E218" s="50"/>
      <c r="F218" s="49"/>
      <c r="G218" s="36"/>
      <c r="H218" s="36"/>
      <c r="T218" s="2"/>
    </row>
    <row r="219" spans="2:20" ht="13.8" x14ac:dyDescent="0.3">
      <c r="D219" s="49"/>
      <c r="E219" s="50"/>
      <c r="F219" s="49"/>
      <c r="G219" s="36"/>
      <c r="H219" s="36"/>
      <c r="T219" s="2"/>
    </row>
    <row r="220" spans="2:20" ht="13.8" x14ac:dyDescent="0.3">
      <c r="J220" s="2">
        <f>ROUND(SUM(J161:J161),0)</f>
        <v>30</v>
      </c>
      <c r="T220" s="2"/>
    </row>
    <row r="221" spans="2:20" ht="13.8" x14ac:dyDescent="0.3">
      <c r="T221" s="2"/>
    </row>
    <row r="222" spans="2:20" ht="13.8" x14ac:dyDescent="0.3">
      <c r="T222" s="2"/>
    </row>
    <row r="223" spans="2:20" ht="13.8" x14ac:dyDescent="0.3">
      <c r="T223" s="2"/>
    </row>
    <row r="224" spans="2:20" ht="13.8" x14ac:dyDescent="0.3">
      <c r="T224" s="2"/>
    </row>
    <row r="225" spans="4:6" s="2" customFormat="1" ht="13.8" x14ac:dyDescent="0.3">
      <c r="D225" s="28"/>
      <c r="E225" s="28"/>
      <c r="F225" s="27"/>
    </row>
    <row r="226" spans="4:6" s="2" customFormat="1" ht="13.8" x14ac:dyDescent="0.3">
      <c r="D226" s="28"/>
      <c r="E226" s="28"/>
      <c r="F226" s="27"/>
    </row>
    <row r="227" spans="4:6" s="2" customFormat="1" ht="13.8" x14ac:dyDescent="0.3">
      <c r="D227" s="28"/>
      <c r="E227" s="28"/>
      <c r="F227" s="27"/>
    </row>
    <row r="228" spans="4:6" s="2" customFormat="1" ht="13.8" x14ac:dyDescent="0.3">
      <c r="D228" s="28"/>
      <c r="E228" s="28"/>
      <c r="F228" s="27"/>
    </row>
    <row r="229" spans="4:6" s="2" customFormat="1" ht="13.8" x14ac:dyDescent="0.3">
      <c r="D229" s="28"/>
      <c r="E229" s="28"/>
      <c r="F229" s="27"/>
    </row>
    <row r="230" spans="4:6" s="2" customFormat="1" ht="13.8" x14ac:dyDescent="0.3">
      <c r="D230" s="28"/>
      <c r="E230" s="28"/>
      <c r="F230" s="27"/>
    </row>
    <row r="231" spans="4:6" s="2" customFormat="1" ht="13.8" x14ac:dyDescent="0.3">
      <c r="D231" s="28"/>
      <c r="E231" s="28"/>
      <c r="F231" s="27"/>
    </row>
    <row r="232" spans="4:6" s="2" customFormat="1" ht="13.8" x14ac:dyDescent="0.3">
      <c r="D232" s="28"/>
      <c r="E232" s="28"/>
      <c r="F232" s="27"/>
    </row>
    <row r="233" spans="4:6" s="2" customFormat="1" ht="13.8" x14ac:dyDescent="0.3">
      <c r="D233" s="28"/>
      <c r="E233" s="28"/>
      <c r="F233" s="27"/>
    </row>
    <row r="234" spans="4:6" s="2" customFormat="1" ht="13.8" x14ac:dyDescent="0.3">
      <c r="D234" s="28"/>
      <c r="E234" s="28"/>
      <c r="F234" s="27"/>
    </row>
    <row r="235" spans="4:6" s="2" customFormat="1" ht="13.8" x14ac:dyDescent="0.3">
      <c r="D235" s="28"/>
      <c r="E235" s="28"/>
      <c r="F235" s="27"/>
    </row>
    <row r="236" spans="4:6" s="2" customFormat="1" ht="13.8" x14ac:dyDescent="0.3">
      <c r="D236" s="28"/>
      <c r="E236" s="28"/>
      <c r="F236" s="27"/>
    </row>
    <row r="237" spans="4:6" s="2" customFormat="1" ht="13.8" x14ac:dyDescent="0.3">
      <c r="D237" s="28"/>
      <c r="E237" s="28"/>
      <c r="F237" s="27"/>
    </row>
    <row r="238" spans="4:6" s="2" customFormat="1" ht="13.8" x14ac:dyDescent="0.3">
      <c r="D238" s="28"/>
      <c r="E238" s="28"/>
      <c r="F238" s="27"/>
    </row>
    <row r="239" spans="4:6" s="2" customFormat="1" ht="13.8" x14ac:dyDescent="0.3">
      <c r="D239" s="28"/>
      <c r="E239" s="28"/>
      <c r="F239" s="27"/>
    </row>
    <row r="240" spans="4:6" s="2" customFormat="1" ht="13.8" x14ac:dyDescent="0.3">
      <c r="D240" s="28"/>
      <c r="E240" s="28"/>
      <c r="F240" s="27"/>
    </row>
    <row r="241" spans="4:6" s="2" customFormat="1" ht="13.8" x14ac:dyDescent="0.3">
      <c r="D241" s="28"/>
      <c r="E241" s="28"/>
      <c r="F241" s="27"/>
    </row>
    <row r="242" spans="4:6" s="2" customFormat="1" ht="13.8" x14ac:dyDescent="0.3">
      <c r="D242" s="28"/>
      <c r="E242" s="28"/>
      <c r="F242" s="27"/>
    </row>
    <row r="243" spans="4:6" s="2" customFormat="1" ht="13.8" x14ac:dyDescent="0.3">
      <c r="D243" s="28"/>
      <c r="E243" s="28"/>
      <c r="F243" s="27"/>
    </row>
    <row r="244" spans="4:6" s="2" customFormat="1" ht="13.8" x14ac:dyDescent="0.3">
      <c r="D244" s="28"/>
      <c r="E244" s="28"/>
      <c r="F244" s="27"/>
    </row>
    <row r="245" spans="4:6" s="2" customFormat="1" ht="13.8" x14ac:dyDescent="0.3">
      <c r="D245" s="28"/>
      <c r="E245" s="28"/>
      <c r="F245" s="27"/>
    </row>
    <row r="246" spans="4:6" s="2" customFormat="1" ht="13.8" x14ac:dyDescent="0.3">
      <c r="D246" s="28"/>
      <c r="E246" s="28"/>
      <c r="F246" s="27"/>
    </row>
    <row r="247" spans="4:6" s="2" customFormat="1" ht="13.8" x14ac:dyDescent="0.3">
      <c r="D247" s="28"/>
      <c r="E247" s="28"/>
      <c r="F247" s="27"/>
    </row>
    <row r="248" spans="4:6" s="2" customFormat="1" ht="13.8" x14ac:dyDescent="0.3">
      <c r="D248" s="28"/>
      <c r="E248" s="28"/>
      <c r="F248" s="27"/>
    </row>
    <row r="249" spans="4:6" s="2" customFormat="1" ht="13.8" x14ac:dyDescent="0.3">
      <c r="D249" s="28"/>
      <c r="E249" s="28"/>
      <c r="F249" s="27"/>
    </row>
    <row r="250" spans="4:6" s="2" customFormat="1" ht="13.8" x14ac:dyDescent="0.3">
      <c r="D250" s="28"/>
      <c r="E250" s="28"/>
      <c r="F250" s="27"/>
    </row>
    <row r="251" spans="4:6" s="2" customFormat="1" ht="13.8" x14ac:dyDescent="0.3">
      <c r="D251" s="28"/>
      <c r="E251" s="28"/>
      <c r="F251" s="27"/>
    </row>
    <row r="252" spans="4:6" s="2" customFormat="1" ht="13.8" x14ac:dyDescent="0.3">
      <c r="D252" s="28"/>
      <c r="E252" s="28"/>
      <c r="F252" s="27"/>
    </row>
    <row r="253" spans="4:6" s="2" customFormat="1" ht="13.8" x14ac:dyDescent="0.3">
      <c r="D253" s="28"/>
      <c r="E253" s="28"/>
      <c r="F253" s="27"/>
    </row>
    <row r="254" spans="4:6" s="2" customFormat="1" ht="13.8" x14ac:dyDescent="0.3">
      <c r="D254" s="28"/>
      <c r="E254" s="28"/>
      <c r="F254" s="27"/>
    </row>
    <row r="255" spans="4:6" s="2" customFormat="1" ht="13.8" x14ac:dyDescent="0.3">
      <c r="D255" s="28"/>
      <c r="E255" s="28"/>
      <c r="F255" s="27"/>
    </row>
    <row r="256" spans="4:6" s="2" customFormat="1" ht="13.8" x14ac:dyDescent="0.3">
      <c r="D256" s="28"/>
      <c r="E256" s="28"/>
      <c r="F256" s="27"/>
    </row>
    <row r="257" spans="4:6" s="2" customFormat="1" ht="13.8" x14ac:dyDescent="0.3">
      <c r="D257" s="28"/>
      <c r="E257" s="28"/>
      <c r="F257" s="27"/>
    </row>
    <row r="258" spans="4:6" s="2" customFormat="1" ht="13.8" x14ac:dyDescent="0.3">
      <c r="D258" s="28"/>
      <c r="E258" s="28"/>
      <c r="F258" s="27"/>
    </row>
    <row r="259" spans="4:6" s="2" customFormat="1" ht="13.8" x14ac:dyDescent="0.3">
      <c r="D259" s="28"/>
      <c r="E259" s="28"/>
      <c r="F259" s="27"/>
    </row>
    <row r="260" spans="4:6" s="2" customFormat="1" ht="13.8" x14ac:dyDescent="0.3">
      <c r="D260" s="28"/>
      <c r="E260" s="28"/>
      <c r="F260" s="27"/>
    </row>
    <row r="261" spans="4:6" s="2" customFormat="1" ht="13.8" x14ac:dyDescent="0.3">
      <c r="D261" s="28"/>
      <c r="E261" s="28"/>
      <c r="F261" s="27"/>
    </row>
    <row r="262" spans="4:6" s="2" customFormat="1" ht="13.8" x14ac:dyDescent="0.3">
      <c r="D262" s="28"/>
      <c r="E262" s="28"/>
      <c r="F262" s="27"/>
    </row>
    <row r="263" spans="4:6" s="2" customFormat="1" ht="13.8" x14ac:dyDescent="0.3">
      <c r="D263" s="28"/>
      <c r="E263" s="28"/>
      <c r="F263" s="27"/>
    </row>
    <row r="264" spans="4:6" s="2" customFormat="1" ht="13.8" x14ac:dyDescent="0.3">
      <c r="D264" s="28"/>
      <c r="E264" s="28"/>
      <c r="F264" s="27"/>
    </row>
    <row r="265" spans="4:6" s="2" customFormat="1" ht="13.8" x14ac:dyDescent="0.3">
      <c r="D265" s="28"/>
      <c r="E265" s="28"/>
      <c r="F265" s="27"/>
    </row>
    <row r="266" spans="4:6" s="2" customFormat="1" ht="13.8" x14ac:dyDescent="0.3">
      <c r="D266" s="28"/>
      <c r="E266" s="28"/>
      <c r="F266" s="27"/>
    </row>
    <row r="267" spans="4:6" s="2" customFormat="1" ht="13.8" x14ac:dyDescent="0.3">
      <c r="D267" s="28"/>
      <c r="E267" s="28"/>
      <c r="F267" s="27"/>
    </row>
    <row r="268" spans="4:6" s="2" customFormat="1" ht="13.8" x14ac:dyDescent="0.3">
      <c r="D268" s="28"/>
      <c r="E268" s="28"/>
      <c r="F268" s="27"/>
    </row>
    <row r="269" spans="4:6" s="2" customFormat="1" ht="13.8" x14ac:dyDescent="0.3">
      <c r="D269" s="28"/>
      <c r="E269" s="28"/>
      <c r="F269" s="27"/>
    </row>
    <row r="270" spans="4:6" s="2" customFormat="1" ht="13.8" x14ac:dyDescent="0.3">
      <c r="D270" s="28"/>
      <c r="E270" s="28"/>
      <c r="F270" s="27"/>
    </row>
    <row r="271" spans="4:6" s="2" customFormat="1" ht="13.8" x14ac:dyDescent="0.3">
      <c r="D271" s="28"/>
      <c r="E271" s="28"/>
      <c r="F271" s="27"/>
    </row>
    <row r="272" spans="4:6" s="2" customFormat="1" ht="13.8" x14ac:dyDescent="0.3">
      <c r="D272" s="28"/>
      <c r="E272" s="28"/>
      <c r="F272" s="27"/>
    </row>
    <row r="273" spans="4:6" s="2" customFormat="1" ht="13.8" x14ac:dyDescent="0.3">
      <c r="D273" s="28"/>
      <c r="E273" s="28"/>
      <c r="F273" s="27"/>
    </row>
    <row r="274" spans="4:6" s="2" customFormat="1" ht="13.8" x14ac:dyDescent="0.3">
      <c r="D274" s="28"/>
      <c r="E274" s="28"/>
      <c r="F274" s="27"/>
    </row>
    <row r="275" spans="4:6" s="2" customFormat="1" ht="13.8" x14ac:dyDescent="0.3">
      <c r="D275" s="28"/>
      <c r="E275" s="28"/>
      <c r="F275" s="27"/>
    </row>
    <row r="276" spans="4:6" s="2" customFormat="1" ht="13.8" x14ac:dyDescent="0.3">
      <c r="D276" s="28"/>
      <c r="E276" s="28"/>
      <c r="F276" s="27"/>
    </row>
    <row r="277" spans="4:6" s="2" customFormat="1" ht="13.8" x14ac:dyDescent="0.3">
      <c r="D277" s="28"/>
      <c r="E277" s="28"/>
      <c r="F277" s="27"/>
    </row>
    <row r="278" spans="4:6" s="2" customFormat="1" ht="13.8" x14ac:dyDescent="0.3">
      <c r="D278" s="28"/>
      <c r="E278" s="28"/>
      <c r="F278" s="27"/>
    </row>
    <row r="279" spans="4:6" s="2" customFormat="1" ht="13.8" x14ac:dyDescent="0.3">
      <c r="D279" s="28"/>
      <c r="E279" s="28"/>
      <c r="F279" s="27"/>
    </row>
    <row r="280" spans="4:6" s="2" customFormat="1" ht="13.8" x14ac:dyDescent="0.3">
      <c r="D280" s="28"/>
      <c r="E280" s="28"/>
      <c r="F280" s="27"/>
    </row>
    <row r="281" spans="4:6" s="2" customFormat="1" ht="13.8" x14ac:dyDescent="0.3">
      <c r="D281" s="28"/>
      <c r="E281" s="28"/>
      <c r="F281" s="27"/>
    </row>
    <row r="282" spans="4:6" s="2" customFormat="1" ht="13.8" x14ac:dyDescent="0.3">
      <c r="D282" s="28"/>
      <c r="E282" s="28"/>
      <c r="F282" s="27"/>
    </row>
    <row r="283" spans="4:6" s="2" customFormat="1" ht="13.8" x14ac:dyDescent="0.3">
      <c r="D283" s="28"/>
      <c r="E283" s="28"/>
      <c r="F283" s="27"/>
    </row>
    <row r="284" spans="4:6" s="2" customFormat="1" ht="13.8" x14ac:dyDescent="0.3">
      <c r="D284" s="28"/>
      <c r="E284" s="28"/>
      <c r="F284" s="27"/>
    </row>
    <row r="285" spans="4:6" s="2" customFormat="1" ht="13.8" x14ac:dyDescent="0.3">
      <c r="D285" s="28"/>
      <c r="E285" s="28"/>
      <c r="F285" s="27"/>
    </row>
    <row r="286" spans="4:6" s="2" customFormat="1" ht="13.8" x14ac:dyDescent="0.3">
      <c r="D286" s="28"/>
      <c r="E286" s="28"/>
      <c r="F286" s="27"/>
    </row>
    <row r="287" spans="4:6" s="2" customFormat="1" ht="13.8" x14ac:dyDescent="0.3">
      <c r="D287" s="28"/>
      <c r="E287" s="28"/>
      <c r="F287" s="27"/>
    </row>
    <row r="288" spans="4:6" s="2" customFormat="1" ht="13.8" x14ac:dyDescent="0.3">
      <c r="D288" s="28"/>
      <c r="E288" s="28"/>
      <c r="F288" s="27"/>
    </row>
    <row r="289" spans="4:6" s="2" customFormat="1" ht="13.8" x14ac:dyDescent="0.3">
      <c r="D289" s="28"/>
      <c r="E289" s="28"/>
      <c r="F289" s="27"/>
    </row>
    <row r="290" spans="4:6" s="2" customFormat="1" ht="13.8" x14ac:dyDescent="0.3">
      <c r="D290" s="28"/>
      <c r="E290" s="28"/>
      <c r="F290" s="27"/>
    </row>
    <row r="291" spans="4:6" s="2" customFormat="1" ht="13.8" x14ac:dyDescent="0.3">
      <c r="D291" s="28"/>
      <c r="E291" s="28"/>
      <c r="F291" s="27"/>
    </row>
    <row r="292" spans="4:6" s="2" customFormat="1" ht="13.8" x14ac:dyDescent="0.3">
      <c r="D292" s="28"/>
      <c r="E292" s="28"/>
      <c r="F292" s="27"/>
    </row>
    <row r="293" spans="4:6" s="2" customFormat="1" ht="13.8" x14ac:dyDescent="0.3">
      <c r="D293" s="28"/>
      <c r="E293" s="28"/>
      <c r="F293" s="27"/>
    </row>
    <row r="294" spans="4:6" s="2" customFormat="1" ht="13.8" x14ac:dyDescent="0.3">
      <c r="D294" s="28"/>
      <c r="E294" s="28"/>
      <c r="F294" s="27"/>
    </row>
    <row r="295" spans="4:6" s="2" customFormat="1" ht="13.8" x14ac:dyDescent="0.3">
      <c r="D295" s="28"/>
      <c r="E295" s="28"/>
      <c r="F295" s="27"/>
    </row>
    <row r="296" spans="4:6" s="2" customFormat="1" ht="13.8" x14ac:dyDescent="0.3">
      <c r="D296" s="28"/>
      <c r="E296" s="28"/>
      <c r="F296" s="27"/>
    </row>
    <row r="297" spans="4:6" s="2" customFormat="1" ht="13.8" x14ac:dyDescent="0.3">
      <c r="D297" s="28"/>
      <c r="E297" s="28"/>
      <c r="F297" s="27"/>
    </row>
    <row r="298" spans="4:6" s="2" customFormat="1" ht="13.8" x14ac:dyDescent="0.3">
      <c r="D298" s="28"/>
      <c r="E298" s="28"/>
      <c r="F298" s="27"/>
    </row>
    <row r="299" spans="4:6" s="2" customFormat="1" ht="13.8" x14ac:dyDescent="0.3">
      <c r="D299" s="28"/>
      <c r="E299" s="28"/>
      <c r="F299" s="27"/>
    </row>
    <row r="300" spans="4:6" s="2" customFormat="1" ht="13.8" x14ac:dyDescent="0.3">
      <c r="D300" s="28"/>
      <c r="E300" s="28"/>
      <c r="F300" s="27"/>
    </row>
    <row r="301" spans="4:6" s="2" customFormat="1" ht="13.8" x14ac:dyDescent="0.3">
      <c r="D301" s="28"/>
      <c r="E301" s="28"/>
      <c r="F301" s="27"/>
    </row>
    <row r="302" spans="4:6" s="2" customFormat="1" ht="13.8" x14ac:dyDescent="0.3">
      <c r="D302" s="28"/>
      <c r="E302" s="28"/>
      <c r="F302" s="27"/>
    </row>
    <row r="303" spans="4:6" s="2" customFormat="1" ht="13.8" x14ac:dyDescent="0.3">
      <c r="D303" s="28"/>
      <c r="E303" s="28"/>
      <c r="F303" s="27"/>
    </row>
    <row r="304" spans="4:6" s="2" customFormat="1" ht="13.8" x14ac:dyDescent="0.3">
      <c r="D304" s="28"/>
      <c r="E304" s="28"/>
      <c r="F304" s="27"/>
    </row>
    <row r="305" spans="4:6" s="2" customFormat="1" ht="13.8" x14ac:dyDescent="0.3">
      <c r="D305" s="28"/>
      <c r="E305" s="28"/>
      <c r="F305" s="27"/>
    </row>
    <row r="306" spans="4:6" s="2" customFormat="1" ht="13.8" x14ac:dyDescent="0.3">
      <c r="D306" s="28"/>
      <c r="E306" s="28"/>
      <c r="F306" s="27"/>
    </row>
    <row r="307" spans="4:6" s="2" customFormat="1" ht="13.8" x14ac:dyDescent="0.3">
      <c r="D307" s="28"/>
      <c r="E307" s="28"/>
      <c r="F307" s="27"/>
    </row>
    <row r="308" spans="4:6" s="2" customFormat="1" ht="13.8" x14ac:dyDescent="0.3">
      <c r="D308" s="28"/>
      <c r="E308" s="28"/>
      <c r="F308" s="27"/>
    </row>
    <row r="309" spans="4:6" s="2" customFormat="1" ht="13.8" x14ac:dyDescent="0.3">
      <c r="D309" s="28"/>
      <c r="E309" s="28"/>
      <c r="F309" s="27"/>
    </row>
    <row r="310" spans="4:6" s="2" customFormat="1" ht="13.8" x14ac:dyDescent="0.3">
      <c r="D310" s="28"/>
      <c r="E310" s="28"/>
      <c r="F310" s="27"/>
    </row>
    <row r="311" spans="4:6" s="2" customFormat="1" ht="13.8" x14ac:dyDescent="0.3">
      <c r="D311" s="28"/>
      <c r="E311" s="28"/>
      <c r="F311" s="27"/>
    </row>
    <row r="312" spans="4:6" s="2" customFormat="1" ht="13.8" x14ac:dyDescent="0.3">
      <c r="D312" s="28"/>
      <c r="E312" s="28"/>
      <c r="F312" s="27"/>
    </row>
    <row r="313" spans="4:6" s="2" customFormat="1" ht="13.8" x14ac:dyDescent="0.3">
      <c r="D313" s="28"/>
      <c r="E313" s="28"/>
      <c r="F313" s="27"/>
    </row>
    <row r="314" spans="4:6" s="2" customFormat="1" ht="13.8" x14ac:dyDescent="0.3">
      <c r="D314" s="28"/>
      <c r="E314" s="28"/>
      <c r="F314" s="27"/>
    </row>
    <row r="315" spans="4:6" s="2" customFormat="1" ht="13.8" x14ac:dyDescent="0.3">
      <c r="D315" s="28"/>
      <c r="E315" s="28"/>
      <c r="F315" s="27"/>
    </row>
    <row r="316" spans="4:6" s="2" customFormat="1" ht="13.8" x14ac:dyDescent="0.3">
      <c r="D316" s="28"/>
      <c r="E316" s="28"/>
      <c r="F316" s="27"/>
    </row>
    <row r="317" spans="4:6" s="2" customFormat="1" ht="13.8" x14ac:dyDescent="0.3">
      <c r="D317" s="28"/>
      <c r="E317" s="28"/>
      <c r="F317" s="27"/>
    </row>
    <row r="318" spans="4:6" s="2" customFormat="1" ht="13.8" x14ac:dyDescent="0.3">
      <c r="D318" s="28"/>
      <c r="E318" s="28"/>
      <c r="F318" s="27"/>
    </row>
    <row r="319" spans="4:6" s="2" customFormat="1" ht="13.8" x14ac:dyDescent="0.3">
      <c r="D319" s="28"/>
      <c r="E319" s="28"/>
      <c r="F319" s="27"/>
    </row>
    <row r="320" spans="4:6" s="2" customFormat="1" ht="13.8" x14ac:dyDescent="0.3">
      <c r="D320" s="28"/>
      <c r="E320" s="28"/>
      <c r="F320" s="27"/>
    </row>
    <row r="321" spans="4:6" s="2" customFormat="1" ht="13.8" x14ac:dyDescent="0.3">
      <c r="D321" s="28"/>
      <c r="E321" s="28"/>
      <c r="F321" s="27"/>
    </row>
    <row r="322" spans="4:6" s="2" customFormat="1" ht="13.8" x14ac:dyDescent="0.3">
      <c r="D322" s="28"/>
      <c r="E322" s="28"/>
      <c r="F322" s="27"/>
    </row>
    <row r="323" spans="4:6" s="2" customFormat="1" ht="13.8" x14ac:dyDescent="0.3">
      <c r="D323" s="28"/>
      <c r="E323" s="28"/>
      <c r="F323" s="27"/>
    </row>
    <row r="324" spans="4:6" s="2" customFormat="1" ht="13.8" x14ac:dyDescent="0.3">
      <c r="D324" s="28"/>
      <c r="E324" s="28"/>
      <c r="F324" s="27"/>
    </row>
    <row r="325" spans="4:6" s="2" customFormat="1" ht="13.8" x14ac:dyDescent="0.3">
      <c r="D325" s="28"/>
      <c r="E325" s="28"/>
      <c r="F325" s="27"/>
    </row>
    <row r="326" spans="4:6" s="2" customFormat="1" ht="13.8" x14ac:dyDescent="0.3">
      <c r="D326" s="28"/>
      <c r="E326" s="28"/>
      <c r="F326" s="27"/>
    </row>
    <row r="327" spans="4:6" s="2" customFormat="1" ht="13.8" x14ac:dyDescent="0.3">
      <c r="D327" s="28"/>
      <c r="E327" s="28"/>
      <c r="F327" s="27"/>
    </row>
    <row r="328" spans="4:6" s="2" customFormat="1" ht="13.8" x14ac:dyDescent="0.3">
      <c r="D328" s="28"/>
      <c r="E328" s="28"/>
      <c r="F328" s="27"/>
    </row>
    <row r="329" spans="4:6" s="2" customFormat="1" ht="13.8" x14ac:dyDescent="0.3">
      <c r="D329" s="28"/>
      <c r="E329" s="28"/>
      <c r="F329" s="27"/>
    </row>
    <row r="330" spans="4:6" s="2" customFormat="1" ht="13.8" x14ac:dyDescent="0.3">
      <c r="D330" s="28"/>
      <c r="E330" s="28"/>
      <c r="F330" s="27"/>
    </row>
    <row r="331" spans="4:6" s="2" customFormat="1" ht="13.8" x14ac:dyDescent="0.3">
      <c r="D331" s="28"/>
      <c r="E331" s="28"/>
      <c r="F331" s="27"/>
    </row>
    <row r="332" spans="4:6" s="2" customFormat="1" ht="13.8" x14ac:dyDescent="0.3">
      <c r="D332" s="28"/>
      <c r="E332" s="28"/>
      <c r="F332" s="27"/>
    </row>
    <row r="333" spans="4:6" s="2" customFormat="1" ht="13.8" x14ac:dyDescent="0.3">
      <c r="D333" s="28"/>
      <c r="E333" s="28"/>
      <c r="F333" s="27"/>
    </row>
    <row r="334" spans="4:6" s="2" customFormat="1" ht="13.8" x14ac:dyDescent="0.3">
      <c r="D334" s="28"/>
      <c r="E334" s="28"/>
      <c r="F334" s="27"/>
    </row>
    <row r="335" spans="4:6" s="2" customFormat="1" ht="13.8" x14ac:dyDescent="0.3">
      <c r="D335" s="28"/>
      <c r="E335" s="28"/>
      <c r="F335" s="27"/>
    </row>
    <row r="336" spans="4:6" s="2" customFormat="1" ht="13.8" x14ac:dyDescent="0.3">
      <c r="D336" s="28"/>
      <c r="E336" s="28"/>
      <c r="F336" s="27"/>
    </row>
    <row r="337" spans="4:6" s="2" customFormat="1" ht="13.8" x14ac:dyDescent="0.3">
      <c r="D337" s="28"/>
      <c r="E337" s="28"/>
      <c r="F337" s="27"/>
    </row>
    <row r="338" spans="4:6" s="2" customFormat="1" ht="13.8" x14ac:dyDescent="0.3">
      <c r="D338" s="28"/>
      <c r="E338" s="28"/>
      <c r="F338" s="27"/>
    </row>
    <row r="339" spans="4:6" s="2" customFormat="1" ht="13.8" x14ac:dyDescent="0.3">
      <c r="D339" s="28"/>
      <c r="E339" s="28"/>
      <c r="F339" s="27"/>
    </row>
    <row r="340" spans="4:6" s="2" customFormat="1" ht="13.8" x14ac:dyDescent="0.3">
      <c r="D340" s="28"/>
      <c r="E340" s="28"/>
      <c r="F340" s="27"/>
    </row>
    <row r="341" spans="4:6" s="2" customFormat="1" ht="13.8" x14ac:dyDescent="0.3">
      <c r="D341" s="28"/>
      <c r="E341" s="28"/>
      <c r="F341" s="27"/>
    </row>
    <row r="342" spans="4:6" s="2" customFormat="1" ht="13.8" x14ac:dyDescent="0.3">
      <c r="D342" s="28"/>
      <c r="E342" s="28"/>
      <c r="F342" s="27"/>
    </row>
    <row r="343" spans="4:6" s="2" customFormat="1" ht="13.8" x14ac:dyDescent="0.3">
      <c r="D343" s="28"/>
      <c r="E343" s="28"/>
      <c r="F343" s="27"/>
    </row>
    <row r="344" spans="4:6" s="2" customFormat="1" ht="13.8" x14ac:dyDescent="0.3">
      <c r="D344" s="28"/>
      <c r="E344" s="28"/>
      <c r="F344" s="27"/>
    </row>
    <row r="345" spans="4:6" s="2" customFormat="1" ht="13.8" x14ac:dyDescent="0.3">
      <c r="D345" s="28"/>
      <c r="E345" s="28"/>
      <c r="F345" s="27"/>
    </row>
    <row r="346" spans="4:6" s="2" customFormat="1" ht="13.8" x14ac:dyDescent="0.3">
      <c r="D346" s="28"/>
      <c r="E346" s="28"/>
      <c r="F346" s="27"/>
    </row>
    <row r="347" spans="4:6" s="2" customFormat="1" ht="13.8" x14ac:dyDescent="0.3">
      <c r="D347" s="28"/>
      <c r="E347" s="28"/>
      <c r="F347" s="27"/>
    </row>
    <row r="348" spans="4:6" s="2" customFormat="1" ht="13.8" x14ac:dyDescent="0.3">
      <c r="D348" s="28"/>
      <c r="E348" s="28"/>
      <c r="F348" s="27"/>
    </row>
    <row r="349" spans="4:6" s="2" customFormat="1" ht="13.8" x14ac:dyDescent="0.3">
      <c r="D349" s="28"/>
      <c r="E349" s="28"/>
      <c r="F349" s="27"/>
    </row>
    <row r="350" spans="4:6" s="2" customFormat="1" ht="13.8" x14ac:dyDescent="0.3">
      <c r="D350" s="28"/>
      <c r="E350" s="28"/>
      <c r="F350" s="27"/>
    </row>
    <row r="351" spans="4:6" s="2" customFormat="1" ht="13.8" x14ac:dyDescent="0.3">
      <c r="D351" s="28"/>
      <c r="E351" s="28"/>
      <c r="F351" s="27"/>
    </row>
    <row r="352" spans="4:6" s="2" customFormat="1" ht="13.8" x14ac:dyDescent="0.3">
      <c r="D352" s="28"/>
      <c r="E352" s="28"/>
      <c r="F352" s="27"/>
    </row>
    <row r="353" spans="4:6" s="2" customFormat="1" ht="13.8" x14ac:dyDescent="0.3">
      <c r="D353" s="28"/>
      <c r="E353" s="28"/>
      <c r="F353" s="27"/>
    </row>
    <row r="354" spans="4:6" s="2" customFormat="1" ht="13.8" x14ac:dyDescent="0.3">
      <c r="D354" s="28"/>
      <c r="E354" s="28"/>
      <c r="F354" s="27"/>
    </row>
    <row r="355" spans="4:6" s="2" customFormat="1" ht="13.8" x14ac:dyDescent="0.3">
      <c r="D355" s="28"/>
      <c r="E355" s="28"/>
      <c r="F355" s="27"/>
    </row>
    <row r="356" spans="4:6" s="2" customFormat="1" ht="13.8" x14ac:dyDescent="0.3">
      <c r="D356" s="28"/>
      <c r="E356" s="28"/>
      <c r="F356" s="27"/>
    </row>
    <row r="357" spans="4:6" s="2" customFormat="1" ht="13.8" x14ac:dyDescent="0.3">
      <c r="D357" s="28"/>
      <c r="E357" s="28"/>
      <c r="F357" s="27"/>
    </row>
    <row r="358" spans="4:6" s="2" customFormat="1" ht="13.8" x14ac:dyDescent="0.3">
      <c r="D358" s="28"/>
      <c r="E358" s="28"/>
      <c r="F358" s="27"/>
    </row>
    <row r="359" spans="4:6" s="2" customFormat="1" ht="13.8" x14ac:dyDescent="0.3">
      <c r="D359" s="28"/>
      <c r="E359" s="28"/>
      <c r="F359" s="27"/>
    </row>
    <row r="360" spans="4:6" s="2" customFormat="1" ht="13.8" x14ac:dyDescent="0.3">
      <c r="D360" s="28"/>
      <c r="E360" s="28"/>
      <c r="F360" s="27"/>
    </row>
    <row r="361" spans="4:6" s="2" customFormat="1" ht="13.8" x14ac:dyDescent="0.3">
      <c r="D361" s="28"/>
      <c r="E361" s="28"/>
      <c r="F361" s="27"/>
    </row>
    <row r="362" spans="4:6" s="2" customFormat="1" ht="13.8" x14ac:dyDescent="0.3">
      <c r="D362" s="28"/>
      <c r="E362" s="28"/>
      <c r="F362" s="27"/>
    </row>
    <row r="363" spans="4:6" s="2" customFormat="1" ht="13.8" x14ac:dyDescent="0.3">
      <c r="D363" s="28"/>
      <c r="E363" s="28"/>
      <c r="F363" s="27"/>
    </row>
    <row r="364" spans="4:6" s="2" customFormat="1" ht="13.8" x14ac:dyDescent="0.3">
      <c r="D364" s="28"/>
      <c r="E364" s="28"/>
      <c r="F364" s="27"/>
    </row>
    <row r="365" spans="4:6" s="2" customFormat="1" ht="13.8" x14ac:dyDescent="0.3">
      <c r="D365" s="28"/>
      <c r="E365" s="28"/>
      <c r="F365" s="27"/>
    </row>
    <row r="366" spans="4:6" s="2" customFormat="1" ht="13.8" x14ac:dyDescent="0.3">
      <c r="D366" s="28"/>
      <c r="E366" s="28"/>
      <c r="F366" s="27"/>
    </row>
    <row r="367" spans="4:6" s="2" customFormat="1" ht="13.8" x14ac:dyDescent="0.3">
      <c r="D367" s="28"/>
      <c r="E367" s="28"/>
      <c r="F367" s="27"/>
    </row>
    <row r="368" spans="4:6" s="2" customFormat="1" ht="13.8" x14ac:dyDescent="0.3">
      <c r="D368" s="28"/>
      <c r="E368" s="28"/>
      <c r="F368" s="27"/>
    </row>
    <row r="369" spans="4:6" s="2" customFormat="1" ht="13.8" x14ac:dyDescent="0.3">
      <c r="D369" s="28"/>
      <c r="E369" s="28"/>
      <c r="F369" s="27"/>
    </row>
    <row r="370" spans="4:6" s="2" customFormat="1" ht="13.8" x14ac:dyDescent="0.3">
      <c r="D370" s="28"/>
      <c r="E370" s="28"/>
      <c r="F370" s="27"/>
    </row>
    <row r="371" spans="4:6" s="2" customFormat="1" ht="13.8" x14ac:dyDescent="0.3">
      <c r="D371" s="28"/>
      <c r="E371" s="28"/>
      <c r="F371" s="27"/>
    </row>
  </sheetData>
  <mergeCells count="162">
    <mergeCell ref="B196:C196"/>
    <mergeCell ref="G116:H116"/>
    <mergeCell ref="B124:B125"/>
    <mergeCell ref="B126:B127"/>
    <mergeCell ref="B128:B129"/>
    <mergeCell ref="B130:B131"/>
    <mergeCell ref="B132:B133"/>
    <mergeCell ref="C179:I179"/>
    <mergeCell ref="C157:I157"/>
    <mergeCell ref="G160:H160"/>
    <mergeCell ref="C165:I165"/>
    <mergeCell ref="G168:H168"/>
    <mergeCell ref="C178:I178"/>
    <mergeCell ref="G161:H161"/>
    <mergeCell ref="G169:H169"/>
    <mergeCell ref="G170:H170"/>
    <mergeCell ref="G171:H171"/>
    <mergeCell ref="G172:H172"/>
    <mergeCell ref="G173:H173"/>
    <mergeCell ref="G174:H174"/>
    <mergeCell ref="G181:H181"/>
    <mergeCell ref="B195:C195"/>
    <mergeCell ref="B181:C181"/>
    <mergeCell ref="B182:B183"/>
    <mergeCell ref="B185:B186"/>
    <mergeCell ref="C193:I193"/>
    <mergeCell ref="C192:I192"/>
    <mergeCell ref="G195:H195"/>
    <mergeCell ref="C121:I121"/>
    <mergeCell ref="G142:H142"/>
    <mergeCell ref="G143:H143"/>
    <mergeCell ref="B142:C143"/>
    <mergeCell ref="C147:I147"/>
    <mergeCell ref="C148:I148"/>
    <mergeCell ref="B150:C150"/>
    <mergeCell ref="G150:H150"/>
    <mergeCell ref="B151:C151"/>
    <mergeCell ref="G151:H151"/>
    <mergeCell ref="B161:C161"/>
    <mergeCell ref="C120:I120"/>
    <mergeCell ref="B168:C168"/>
    <mergeCell ref="B169:B170"/>
    <mergeCell ref="B171:B173"/>
    <mergeCell ref="B123:C123"/>
    <mergeCell ref="B160:C160"/>
    <mergeCell ref="C158:I158"/>
    <mergeCell ref="C166:I166"/>
    <mergeCell ref="B107:C107"/>
    <mergeCell ref="G107:H107"/>
    <mergeCell ref="B108:C108"/>
    <mergeCell ref="G108:H108"/>
    <mergeCell ref="C112:I112"/>
    <mergeCell ref="C113:I113"/>
    <mergeCell ref="B115:C115"/>
    <mergeCell ref="G115:H115"/>
    <mergeCell ref="C137:I137"/>
    <mergeCell ref="C138:I138"/>
    <mergeCell ref="B140:C140"/>
    <mergeCell ref="G140:H140"/>
    <mergeCell ref="B141:C141"/>
    <mergeCell ref="G141:H141"/>
    <mergeCell ref="B116:C116"/>
    <mergeCell ref="G95:H95"/>
    <mergeCell ref="B106:C106"/>
    <mergeCell ref="G106:H106"/>
    <mergeCell ref="C104:I104"/>
    <mergeCell ref="C80:I80"/>
    <mergeCell ref="C79:I79"/>
    <mergeCell ref="G85:H85"/>
    <mergeCell ref="G86:H86"/>
    <mergeCell ref="B94:C94"/>
    <mergeCell ref="G94:H94"/>
    <mergeCell ref="B82:C82"/>
    <mergeCell ref="G82:H82"/>
    <mergeCell ref="B83:C83"/>
    <mergeCell ref="G83:H83"/>
    <mergeCell ref="B84:C84"/>
    <mergeCell ref="G84:H84"/>
    <mergeCell ref="C92:I92"/>
    <mergeCell ref="C91:I91"/>
    <mergeCell ref="G87:H87"/>
    <mergeCell ref="B85:C85"/>
    <mergeCell ref="B86:C86"/>
    <mergeCell ref="B87:C87"/>
    <mergeCell ref="B96:C96"/>
    <mergeCell ref="C103:I103"/>
    <mergeCell ref="C30:H30"/>
    <mergeCell ref="C31:H31"/>
    <mergeCell ref="C25:H25"/>
    <mergeCell ref="C26:H26"/>
    <mergeCell ref="C27:H27"/>
    <mergeCell ref="B50:C50"/>
    <mergeCell ref="G50:H50"/>
    <mergeCell ref="B51:C51"/>
    <mergeCell ref="G51:H51"/>
    <mergeCell ref="C47:I47"/>
    <mergeCell ref="C48:I48"/>
    <mergeCell ref="C32:H32"/>
    <mergeCell ref="C33:H33"/>
    <mergeCell ref="C45:E45"/>
    <mergeCell ref="F37:G37"/>
    <mergeCell ref="H37:I37"/>
    <mergeCell ref="G96:H96"/>
    <mergeCell ref="B97:C97"/>
    <mergeCell ref="G97:H97"/>
    <mergeCell ref="B98:C98"/>
    <mergeCell ref="G98:H98"/>
    <mergeCell ref="B99:C99"/>
    <mergeCell ref="G99:H99"/>
    <mergeCell ref="B58:C58"/>
    <mergeCell ref="G58:H58"/>
    <mergeCell ref="B61:C61"/>
    <mergeCell ref="G61:H61"/>
    <mergeCell ref="B75:C75"/>
    <mergeCell ref="G75:H75"/>
    <mergeCell ref="B72:C72"/>
    <mergeCell ref="G72:H72"/>
    <mergeCell ref="B73:C73"/>
    <mergeCell ref="G73:H73"/>
    <mergeCell ref="B74:C74"/>
    <mergeCell ref="G74:H74"/>
    <mergeCell ref="B70:C70"/>
    <mergeCell ref="G70:H70"/>
    <mergeCell ref="B71:C71"/>
    <mergeCell ref="G71:H71"/>
    <mergeCell ref="B95:C95"/>
    <mergeCell ref="C56:I56"/>
    <mergeCell ref="C55:I55"/>
    <mergeCell ref="B62:C62"/>
    <mergeCell ref="G62:H62"/>
    <mergeCell ref="B63:C63"/>
    <mergeCell ref="G63:H63"/>
    <mergeCell ref="C68:I68"/>
    <mergeCell ref="C67:I67"/>
    <mergeCell ref="B59:C59"/>
    <mergeCell ref="G59:H59"/>
    <mergeCell ref="B60:C60"/>
    <mergeCell ref="G60:H60"/>
    <mergeCell ref="B2:J2"/>
    <mergeCell ref="B4:J4"/>
    <mergeCell ref="B6:J6"/>
    <mergeCell ref="I7:J7"/>
    <mergeCell ref="B14:J14"/>
    <mergeCell ref="F38:G38"/>
    <mergeCell ref="H38:I38"/>
    <mergeCell ref="B35:J35"/>
    <mergeCell ref="B9:B10"/>
    <mergeCell ref="C9:F10"/>
    <mergeCell ref="G9:J10"/>
    <mergeCell ref="B11:C11"/>
    <mergeCell ref="D11:F12"/>
    <mergeCell ref="G11:J12"/>
    <mergeCell ref="C17:J17"/>
    <mergeCell ref="C16:H16"/>
    <mergeCell ref="C18:H18"/>
    <mergeCell ref="C19:H19"/>
    <mergeCell ref="C20:H20"/>
    <mergeCell ref="C21:H21"/>
    <mergeCell ref="C22:H22"/>
    <mergeCell ref="C23:H23"/>
    <mergeCell ref="C24:H24"/>
    <mergeCell ref="C29:J29"/>
  </mergeCell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Z321"/>
  <sheetViews>
    <sheetView topLeftCell="A111" workbookViewId="0">
      <selection activeCell="H126" sqref="H126"/>
    </sheetView>
  </sheetViews>
  <sheetFormatPr baseColWidth="10" defaultRowHeight="14.4" x14ac:dyDescent="0.3"/>
  <cols>
    <col min="1" max="1" width="3.109375" style="2" customWidth="1"/>
    <col min="2" max="2" width="27.6640625" style="2" customWidth="1"/>
    <col min="3" max="3" width="11.109375" style="2" bestFit="1" customWidth="1"/>
    <col min="4" max="5" width="11" style="28" bestFit="1" customWidth="1"/>
    <col min="6" max="6" width="11" style="27" bestFit="1" customWidth="1"/>
    <col min="7" max="7" width="8.109375" style="2" bestFit="1" customWidth="1"/>
    <col min="8" max="8" width="16.109375" style="2" customWidth="1"/>
    <col min="9" max="9" width="10" style="2" bestFit="1" customWidth="1"/>
    <col min="10" max="10" width="12.88671875" style="2" customWidth="1"/>
    <col min="11" max="11" width="6.109375" style="2" bestFit="1" customWidth="1"/>
    <col min="12" max="12" width="26.33203125" style="2" customWidth="1"/>
    <col min="13" max="13" width="24.88671875" style="2" customWidth="1"/>
    <col min="14" max="14" width="19.44140625" style="2" customWidth="1"/>
    <col min="15" max="15" width="17.109375" style="2" customWidth="1"/>
    <col min="16" max="16" width="16.6640625" style="2" customWidth="1"/>
    <col min="17" max="17" width="11.44140625" style="1"/>
    <col min="18" max="253" width="11.44140625" style="2"/>
    <col min="254" max="254" width="5.109375" style="2" customWidth="1"/>
    <col min="255" max="255" width="8.44140625" style="2" customWidth="1"/>
    <col min="256" max="256" width="11.44140625" style="2"/>
    <col min="257" max="257" width="54" style="2" customWidth="1"/>
    <col min="258" max="258" width="12.6640625" style="2" customWidth="1"/>
    <col min="259" max="259" width="12.33203125" style="2" bestFit="1" customWidth="1"/>
    <col min="260" max="260" width="8.6640625" style="2" bestFit="1" customWidth="1"/>
    <col min="261" max="261" width="9.44140625" style="2" bestFit="1" customWidth="1"/>
    <col min="262" max="262" width="11.44140625" style="2"/>
    <col min="263" max="263" width="8.6640625" style="2" bestFit="1" customWidth="1"/>
    <col min="264" max="264" width="13.33203125" style="2" customWidth="1"/>
    <col min="265" max="265" width="12.6640625" style="2" customWidth="1"/>
    <col min="266" max="266" width="17.6640625" style="2" customWidth="1"/>
    <col min="267" max="267" width="27.44140625" style="2" customWidth="1"/>
    <col min="268" max="268" width="26.33203125" style="2" customWidth="1"/>
    <col min="269" max="269" width="24.88671875" style="2" customWidth="1"/>
    <col min="270" max="270" width="19.44140625" style="2" customWidth="1"/>
    <col min="271" max="271" width="17.109375" style="2" customWidth="1"/>
    <col min="272" max="272" width="16.6640625" style="2" customWidth="1"/>
    <col min="273" max="509" width="11.44140625" style="2"/>
    <col min="510" max="510" width="5.109375" style="2" customWidth="1"/>
    <col min="511" max="511" width="8.44140625" style="2" customWidth="1"/>
    <col min="512" max="512" width="11.44140625" style="2"/>
    <col min="513" max="513" width="54" style="2" customWidth="1"/>
    <col min="514" max="514" width="12.6640625" style="2" customWidth="1"/>
    <col min="515" max="515" width="12.33203125" style="2" bestFit="1" customWidth="1"/>
    <col min="516" max="516" width="8.6640625" style="2" bestFit="1" customWidth="1"/>
    <col min="517" max="517" width="9.44140625" style="2" bestFit="1" customWidth="1"/>
    <col min="518" max="518" width="11.44140625" style="2"/>
    <col min="519" max="519" width="8.6640625" style="2" bestFit="1" customWidth="1"/>
    <col min="520" max="520" width="13.33203125" style="2" customWidth="1"/>
    <col min="521" max="521" width="12.6640625" style="2" customWidth="1"/>
    <col min="522" max="522" width="17.6640625" style="2" customWidth="1"/>
    <col min="523" max="523" width="27.44140625" style="2" customWidth="1"/>
    <col min="524" max="524" width="26.33203125" style="2" customWidth="1"/>
    <col min="525" max="525" width="24.88671875" style="2" customWidth="1"/>
    <col min="526" max="526" width="19.44140625" style="2" customWidth="1"/>
    <col min="527" max="527" width="17.109375" style="2" customWidth="1"/>
    <col min="528" max="528" width="16.6640625" style="2" customWidth="1"/>
    <col min="529" max="765" width="11.44140625" style="2"/>
    <col min="766" max="766" width="5.109375" style="2" customWidth="1"/>
    <col min="767" max="767" width="8.44140625" style="2" customWidth="1"/>
    <col min="768" max="768" width="11.44140625" style="2"/>
    <col min="769" max="769" width="54" style="2" customWidth="1"/>
    <col min="770" max="770" width="12.6640625" style="2" customWidth="1"/>
    <col min="771" max="771" width="12.33203125" style="2" bestFit="1" customWidth="1"/>
    <col min="772" max="772" width="8.6640625" style="2" bestFit="1" customWidth="1"/>
    <col min="773" max="773" width="9.44140625" style="2" bestFit="1" customWidth="1"/>
    <col min="774" max="774" width="11.44140625" style="2"/>
    <col min="775" max="775" width="8.6640625" style="2" bestFit="1" customWidth="1"/>
    <col min="776" max="776" width="13.33203125" style="2" customWidth="1"/>
    <col min="777" max="777" width="12.6640625" style="2" customWidth="1"/>
    <col min="778" max="778" width="17.6640625" style="2" customWidth="1"/>
    <col min="779" max="779" width="27.44140625" style="2" customWidth="1"/>
    <col min="780" max="780" width="26.33203125" style="2" customWidth="1"/>
    <col min="781" max="781" width="24.88671875" style="2" customWidth="1"/>
    <col min="782" max="782" width="19.44140625" style="2" customWidth="1"/>
    <col min="783" max="783" width="17.109375" style="2" customWidth="1"/>
    <col min="784" max="784" width="16.6640625" style="2" customWidth="1"/>
    <col min="785" max="1021" width="11.44140625" style="2"/>
    <col min="1022" max="1022" width="5.109375" style="2" customWidth="1"/>
    <col min="1023" max="1023" width="8.44140625" style="2" customWidth="1"/>
    <col min="1024" max="1024" width="11.44140625" style="2"/>
    <col min="1025" max="1025" width="54" style="2" customWidth="1"/>
    <col min="1026" max="1026" width="12.6640625" style="2" customWidth="1"/>
    <col min="1027" max="1027" width="12.33203125" style="2" bestFit="1" customWidth="1"/>
    <col min="1028" max="1028" width="8.6640625" style="2" bestFit="1" customWidth="1"/>
    <col min="1029" max="1029" width="9.44140625" style="2" bestFit="1" customWidth="1"/>
    <col min="1030" max="1030" width="11.44140625" style="2"/>
    <col min="1031" max="1031" width="8.6640625" style="2" bestFit="1" customWidth="1"/>
    <col min="1032" max="1032" width="13.33203125" style="2" customWidth="1"/>
    <col min="1033" max="1033" width="12.6640625" style="2" customWidth="1"/>
    <col min="1034" max="1034" width="17.6640625" style="2" customWidth="1"/>
    <col min="1035" max="1035" width="27.44140625" style="2" customWidth="1"/>
    <col min="1036" max="1036" width="26.33203125" style="2" customWidth="1"/>
    <col min="1037" max="1037" width="24.88671875" style="2" customWidth="1"/>
    <col min="1038" max="1038" width="19.44140625" style="2" customWidth="1"/>
    <col min="1039" max="1039" width="17.109375" style="2" customWidth="1"/>
    <col min="1040" max="1040" width="16.6640625" style="2" customWidth="1"/>
    <col min="1041" max="1277" width="11.44140625" style="2"/>
    <col min="1278" max="1278" width="5.109375" style="2" customWidth="1"/>
    <col min="1279" max="1279" width="8.44140625" style="2" customWidth="1"/>
    <col min="1280" max="1280" width="11.44140625" style="2"/>
    <col min="1281" max="1281" width="54" style="2" customWidth="1"/>
    <col min="1282" max="1282" width="12.6640625" style="2" customWidth="1"/>
    <col min="1283" max="1283" width="12.33203125" style="2" bestFit="1" customWidth="1"/>
    <col min="1284" max="1284" width="8.6640625" style="2" bestFit="1" customWidth="1"/>
    <col min="1285" max="1285" width="9.44140625" style="2" bestFit="1" customWidth="1"/>
    <col min="1286" max="1286" width="11.44140625" style="2"/>
    <col min="1287" max="1287" width="8.6640625" style="2" bestFit="1" customWidth="1"/>
    <col min="1288" max="1288" width="13.33203125" style="2" customWidth="1"/>
    <col min="1289" max="1289" width="12.6640625" style="2" customWidth="1"/>
    <col min="1290" max="1290" width="17.6640625" style="2" customWidth="1"/>
    <col min="1291" max="1291" width="27.44140625" style="2" customWidth="1"/>
    <col min="1292" max="1292" width="26.33203125" style="2" customWidth="1"/>
    <col min="1293" max="1293" width="24.88671875" style="2" customWidth="1"/>
    <col min="1294" max="1294" width="19.44140625" style="2" customWidth="1"/>
    <col min="1295" max="1295" width="17.109375" style="2" customWidth="1"/>
    <col min="1296" max="1296" width="16.6640625" style="2" customWidth="1"/>
    <col min="1297" max="1533" width="11.44140625" style="2"/>
    <col min="1534" max="1534" width="5.109375" style="2" customWidth="1"/>
    <col min="1535" max="1535" width="8.44140625" style="2" customWidth="1"/>
    <col min="1536" max="1536" width="11.44140625" style="2"/>
    <col min="1537" max="1537" width="54" style="2" customWidth="1"/>
    <col min="1538" max="1538" width="12.6640625" style="2" customWidth="1"/>
    <col min="1539" max="1539" width="12.33203125" style="2" bestFit="1" customWidth="1"/>
    <col min="1540" max="1540" width="8.6640625" style="2" bestFit="1" customWidth="1"/>
    <col min="1541" max="1541" width="9.44140625" style="2" bestFit="1" customWidth="1"/>
    <col min="1542" max="1542" width="11.44140625" style="2"/>
    <col min="1543" max="1543" width="8.6640625" style="2" bestFit="1" customWidth="1"/>
    <col min="1544" max="1544" width="13.33203125" style="2" customWidth="1"/>
    <col min="1545" max="1545" width="12.6640625" style="2" customWidth="1"/>
    <col min="1546" max="1546" width="17.6640625" style="2" customWidth="1"/>
    <col min="1547" max="1547" width="27.44140625" style="2" customWidth="1"/>
    <col min="1548" max="1548" width="26.33203125" style="2" customWidth="1"/>
    <col min="1549" max="1549" width="24.88671875" style="2" customWidth="1"/>
    <col min="1550" max="1550" width="19.44140625" style="2" customWidth="1"/>
    <col min="1551" max="1551" width="17.109375" style="2" customWidth="1"/>
    <col min="1552" max="1552" width="16.6640625" style="2" customWidth="1"/>
    <col min="1553" max="1789" width="11.44140625" style="2"/>
    <col min="1790" max="1790" width="5.109375" style="2" customWidth="1"/>
    <col min="1791" max="1791" width="8.44140625" style="2" customWidth="1"/>
    <col min="1792" max="1792" width="11.44140625" style="2"/>
    <col min="1793" max="1793" width="54" style="2" customWidth="1"/>
    <col min="1794" max="1794" width="12.6640625" style="2" customWidth="1"/>
    <col min="1795" max="1795" width="12.33203125" style="2" bestFit="1" customWidth="1"/>
    <col min="1796" max="1796" width="8.6640625" style="2" bestFit="1" customWidth="1"/>
    <col min="1797" max="1797" width="9.44140625" style="2" bestFit="1" customWidth="1"/>
    <col min="1798" max="1798" width="11.44140625" style="2"/>
    <col min="1799" max="1799" width="8.6640625" style="2" bestFit="1" customWidth="1"/>
    <col min="1800" max="1800" width="13.33203125" style="2" customWidth="1"/>
    <col min="1801" max="1801" width="12.6640625" style="2" customWidth="1"/>
    <col min="1802" max="1802" width="17.6640625" style="2" customWidth="1"/>
    <col min="1803" max="1803" width="27.44140625" style="2" customWidth="1"/>
    <col min="1804" max="1804" width="26.33203125" style="2" customWidth="1"/>
    <col min="1805" max="1805" width="24.88671875" style="2" customWidth="1"/>
    <col min="1806" max="1806" width="19.44140625" style="2" customWidth="1"/>
    <col min="1807" max="1807" width="17.109375" style="2" customWidth="1"/>
    <col min="1808" max="1808" width="16.6640625" style="2" customWidth="1"/>
    <col min="1809" max="2045" width="11.44140625" style="2"/>
    <col min="2046" max="2046" width="5.109375" style="2" customWidth="1"/>
    <col min="2047" max="2047" width="8.44140625" style="2" customWidth="1"/>
    <col min="2048" max="2048" width="11.44140625" style="2"/>
    <col min="2049" max="2049" width="54" style="2" customWidth="1"/>
    <col min="2050" max="2050" width="12.6640625" style="2" customWidth="1"/>
    <col min="2051" max="2051" width="12.33203125" style="2" bestFit="1" customWidth="1"/>
    <col min="2052" max="2052" width="8.6640625" style="2" bestFit="1" customWidth="1"/>
    <col min="2053" max="2053" width="9.44140625" style="2" bestFit="1" customWidth="1"/>
    <col min="2054" max="2054" width="11.44140625" style="2"/>
    <col min="2055" max="2055" width="8.6640625" style="2" bestFit="1" customWidth="1"/>
    <col min="2056" max="2056" width="13.33203125" style="2" customWidth="1"/>
    <col min="2057" max="2057" width="12.6640625" style="2" customWidth="1"/>
    <col min="2058" max="2058" width="17.6640625" style="2" customWidth="1"/>
    <col min="2059" max="2059" width="27.44140625" style="2" customWidth="1"/>
    <col min="2060" max="2060" width="26.33203125" style="2" customWidth="1"/>
    <col min="2061" max="2061" width="24.88671875" style="2" customWidth="1"/>
    <col min="2062" max="2062" width="19.44140625" style="2" customWidth="1"/>
    <col min="2063" max="2063" width="17.109375" style="2" customWidth="1"/>
    <col min="2064" max="2064" width="16.6640625" style="2" customWidth="1"/>
    <col min="2065" max="2301" width="11.44140625" style="2"/>
    <col min="2302" max="2302" width="5.109375" style="2" customWidth="1"/>
    <col min="2303" max="2303" width="8.44140625" style="2" customWidth="1"/>
    <col min="2304" max="2304" width="11.44140625" style="2"/>
    <col min="2305" max="2305" width="54" style="2" customWidth="1"/>
    <col min="2306" max="2306" width="12.6640625" style="2" customWidth="1"/>
    <col min="2307" max="2307" width="12.33203125" style="2" bestFit="1" customWidth="1"/>
    <col min="2308" max="2308" width="8.6640625" style="2" bestFit="1" customWidth="1"/>
    <col min="2309" max="2309" width="9.44140625" style="2" bestFit="1" customWidth="1"/>
    <col min="2310" max="2310" width="11.44140625" style="2"/>
    <col min="2311" max="2311" width="8.6640625" style="2" bestFit="1" customWidth="1"/>
    <col min="2312" max="2312" width="13.33203125" style="2" customWidth="1"/>
    <col min="2313" max="2313" width="12.6640625" style="2" customWidth="1"/>
    <col min="2314" max="2314" width="17.6640625" style="2" customWidth="1"/>
    <col min="2315" max="2315" width="27.44140625" style="2" customWidth="1"/>
    <col min="2316" max="2316" width="26.33203125" style="2" customWidth="1"/>
    <col min="2317" max="2317" width="24.88671875" style="2" customWidth="1"/>
    <col min="2318" max="2318" width="19.44140625" style="2" customWidth="1"/>
    <col min="2319" max="2319" width="17.109375" style="2" customWidth="1"/>
    <col min="2320" max="2320" width="16.6640625" style="2" customWidth="1"/>
    <col min="2321" max="2557" width="11.44140625" style="2"/>
    <col min="2558" max="2558" width="5.109375" style="2" customWidth="1"/>
    <col min="2559" max="2559" width="8.44140625" style="2" customWidth="1"/>
    <col min="2560" max="2560" width="11.44140625" style="2"/>
    <col min="2561" max="2561" width="54" style="2" customWidth="1"/>
    <col min="2562" max="2562" width="12.6640625" style="2" customWidth="1"/>
    <col min="2563" max="2563" width="12.33203125" style="2" bestFit="1" customWidth="1"/>
    <col min="2564" max="2564" width="8.6640625" style="2" bestFit="1" customWidth="1"/>
    <col min="2565" max="2565" width="9.44140625" style="2" bestFit="1" customWidth="1"/>
    <col min="2566" max="2566" width="11.44140625" style="2"/>
    <col min="2567" max="2567" width="8.6640625" style="2" bestFit="1" customWidth="1"/>
    <col min="2568" max="2568" width="13.33203125" style="2" customWidth="1"/>
    <col min="2569" max="2569" width="12.6640625" style="2" customWidth="1"/>
    <col min="2570" max="2570" width="17.6640625" style="2" customWidth="1"/>
    <col min="2571" max="2571" width="27.44140625" style="2" customWidth="1"/>
    <col min="2572" max="2572" width="26.33203125" style="2" customWidth="1"/>
    <col min="2573" max="2573" width="24.88671875" style="2" customWidth="1"/>
    <col min="2574" max="2574" width="19.44140625" style="2" customWidth="1"/>
    <col min="2575" max="2575" width="17.109375" style="2" customWidth="1"/>
    <col min="2576" max="2576" width="16.6640625" style="2" customWidth="1"/>
    <col min="2577" max="2813" width="11.44140625" style="2"/>
    <col min="2814" max="2814" width="5.109375" style="2" customWidth="1"/>
    <col min="2815" max="2815" width="8.44140625" style="2" customWidth="1"/>
    <col min="2816" max="2816" width="11.44140625" style="2"/>
    <col min="2817" max="2817" width="54" style="2" customWidth="1"/>
    <col min="2818" max="2818" width="12.6640625" style="2" customWidth="1"/>
    <col min="2819" max="2819" width="12.33203125" style="2" bestFit="1" customWidth="1"/>
    <col min="2820" max="2820" width="8.6640625" style="2" bestFit="1" customWidth="1"/>
    <col min="2821" max="2821" width="9.44140625" style="2" bestFit="1" customWidth="1"/>
    <col min="2822" max="2822" width="11.44140625" style="2"/>
    <col min="2823" max="2823" width="8.6640625" style="2" bestFit="1" customWidth="1"/>
    <col min="2824" max="2824" width="13.33203125" style="2" customWidth="1"/>
    <col min="2825" max="2825" width="12.6640625" style="2" customWidth="1"/>
    <col min="2826" max="2826" width="17.6640625" style="2" customWidth="1"/>
    <col min="2827" max="2827" width="27.44140625" style="2" customWidth="1"/>
    <col min="2828" max="2828" width="26.33203125" style="2" customWidth="1"/>
    <col min="2829" max="2829" width="24.88671875" style="2" customWidth="1"/>
    <col min="2830" max="2830" width="19.44140625" style="2" customWidth="1"/>
    <col min="2831" max="2831" width="17.109375" style="2" customWidth="1"/>
    <col min="2832" max="2832" width="16.6640625" style="2" customWidth="1"/>
    <col min="2833" max="3069" width="11.44140625" style="2"/>
    <col min="3070" max="3070" width="5.109375" style="2" customWidth="1"/>
    <col min="3071" max="3071" width="8.44140625" style="2" customWidth="1"/>
    <col min="3072" max="3072" width="11.44140625" style="2"/>
    <col min="3073" max="3073" width="54" style="2" customWidth="1"/>
    <col min="3074" max="3074" width="12.6640625" style="2" customWidth="1"/>
    <col min="3075" max="3075" width="12.33203125" style="2" bestFit="1" customWidth="1"/>
    <col min="3076" max="3076" width="8.6640625" style="2" bestFit="1" customWidth="1"/>
    <col min="3077" max="3077" width="9.44140625" style="2" bestFit="1" customWidth="1"/>
    <col min="3078" max="3078" width="11.44140625" style="2"/>
    <col min="3079" max="3079" width="8.6640625" style="2" bestFit="1" customWidth="1"/>
    <col min="3080" max="3080" width="13.33203125" style="2" customWidth="1"/>
    <col min="3081" max="3081" width="12.6640625" style="2" customWidth="1"/>
    <col min="3082" max="3082" width="17.6640625" style="2" customWidth="1"/>
    <col min="3083" max="3083" width="27.44140625" style="2" customWidth="1"/>
    <col min="3084" max="3084" width="26.33203125" style="2" customWidth="1"/>
    <col min="3085" max="3085" width="24.88671875" style="2" customWidth="1"/>
    <col min="3086" max="3086" width="19.44140625" style="2" customWidth="1"/>
    <col min="3087" max="3087" width="17.109375" style="2" customWidth="1"/>
    <col min="3088" max="3088" width="16.6640625" style="2" customWidth="1"/>
    <col min="3089" max="3325" width="11.44140625" style="2"/>
    <col min="3326" max="3326" width="5.109375" style="2" customWidth="1"/>
    <col min="3327" max="3327" width="8.44140625" style="2" customWidth="1"/>
    <col min="3328" max="3328" width="11.44140625" style="2"/>
    <col min="3329" max="3329" width="54" style="2" customWidth="1"/>
    <col min="3330" max="3330" width="12.6640625" style="2" customWidth="1"/>
    <col min="3331" max="3331" width="12.33203125" style="2" bestFit="1" customWidth="1"/>
    <col min="3332" max="3332" width="8.6640625" style="2" bestFit="1" customWidth="1"/>
    <col min="3333" max="3333" width="9.44140625" style="2" bestFit="1" customWidth="1"/>
    <col min="3334" max="3334" width="11.44140625" style="2"/>
    <col min="3335" max="3335" width="8.6640625" style="2" bestFit="1" customWidth="1"/>
    <col min="3336" max="3336" width="13.33203125" style="2" customWidth="1"/>
    <col min="3337" max="3337" width="12.6640625" style="2" customWidth="1"/>
    <col min="3338" max="3338" width="17.6640625" style="2" customWidth="1"/>
    <col min="3339" max="3339" width="27.44140625" style="2" customWidth="1"/>
    <col min="3340" max="3340" width="26.33203125" style="2" customWidth="1"/>
    <col min="3341" max="3341" width="24.88671875" style="2" customWidth="1"/>
    <col min="3342" max="3342" width="19.44140625" style="2" customWidth="1"/>
    <col min="3343" max="3343" width="17.109375" style="2" customWidth="1"/>
    <col min="3344" max="3344" width="16.6640625" style="2" customWidth="1"/>
    <col min="3345" max="3581" width="11.44140625" style="2"/>
    <col min="3582" max="3582" width="5.109375" style="2" customWidth="1"/>
    <col min="3583" max="3583" width="8.44140625" style="2" customWidth="1"/>
    <col min="3584" max="3584" width="11.44140625" style="2"/>
    <col min="3585" max="3585" width="54" style="2" customWidth="1"/>
    <col min="3586" max="3586" width="12.6640625" style="2" customWidth="1"/>
    <col min="3587" max="3587" width="12.33203125" style="2" bestFit="1" customWidth="1"/>
    <col min="3588" max="3588" width="8.6640625" style="2" bestFit="1" customWidth="1"/>
    <col min="3589" max="3589" width="9.44140625" style="2" bestFit="1" customWidth="1"/>
    <col min="3590" max="3590" width="11.44140625" style="2"/>
    <col min="3591" max="3591" width="8.6640625" style="2" bestFit="1" customWidth="1"/>
    <col min="3592" max="3592" width="13.33203125" style="2" customWidth="1"/>
    <col min="3593" max="3593" width="12.6640625" style="2" customWidth="1"/>
    <col min="3594" max="3594" width="17.6640625" style="2" customWidth="1"/>
    <col min="3595" max="3595" width="27.44140625" style="2" customWidth="1"/>
    <col min="3596" max="3596" width="26.33203125" style="2" customWidth="1"/>
    <col min="3597" max="3597" width="24.88671875" style="2" customWidth="1"/>
    <col min="3598" max="3598" width="19.44140625" style="2" customWidth="1"/>
    <col min="3599" max="3599" width="17.109375" style="2" customWidth="1"/>
    <col min="3600" max="3600" width="16.6640625" style="2" customWidth="1"/>
    <col min="3601" max="3837" width="11.44140625" style="2"/>
    <col min="3838" max="3838" width="5.109375" style="2" customWidth="1"/>
    <col min="3839" max="3839" width="8.44140625" style="2" customWidth="1"/>
    <col min="3840" max="3840" width="11.44140625" style="2"/>
    <col min="3841" max="3841" width="54" style="2" customWidth="1"/>
    <col min="3842" max="3842" width="12.6640625" style="2" customWidth="1"/>
    <col min="3843" max="3843" width="12.33203125" style="2" bestFit="1" customWidth="1"/>
    <col min="3844" max="3844" width="8.6640625" style="2" bestFit="1" customWidth="1"/>
    <col min="3845" max="3845" width="9.44140625" style="2" bestFit="1" customWidth="1"/>
    <col min="3846" max="3846" width="11.44140625" style="2"/>
    <col min="3847" max="3847" width="8.6640625" style="2" bestFit="1" customWidth="1"/>
    <col min="3848" max="3848" width="13.33203125" style="2" customWidth="1"/>
    <col min="3849" max="3849" width="12.6640625" style="2" customWidth="1"/>
    <col min="3850" max="3850" width="17.6640625" style="2" customWidth="1"/>
    <col min="3851" max="3851" width="27.44140625" style="2" customWidth="1"/>
    <col min="3852" max="3852" width="26.33203125" style="2" customWidth="1"/>
    <col min="3853" max="3853" width="24.88671875" style="2" customWidth="1"/>
    <col min="3854" max="3854" width="19.44140625" style="2" customWidth="1"/>
    <col min="3855" max="3855" width="17.109375" style="2" customWidth="1"/>
    <col min="3856" max="3856" width="16.6640625" style="2" customWidth="1"/>
    <col min="3857" max="4093" width="11.44140625" style="2"/>
    <col min="4094" max="4094" width="5.109375" style="2" customWidth="1"/>
    <col min="4095" max="4095" width="8.44140625" style="2" customWidth="1"/>
    <col min="4096" max="4096" width="11.44140625" style="2"/>
    <col min="4097" max="4097" width="54" style="2" customWidth="1"/>
    <col min="4098" max="4098" width="12.6640625" style="2" customWidth="1"/>
    <col min="4099" max="4099" width="12.33203125" style="2" bestFit="1" customWidth="1"/>
    <col min="4100" max="4100" width="8.6640625" style="2" bestFit="1" customWidth="1"/>
    <col min="4101" max="4101" width="9.44140625" style="2" bestFit="1" customWidth="1"/>
    <col min="4102" max="4102" width="11.44140625" style="2"/>
    <col min="4103" max="4103" width="8.6640625" style="2" bestFit="1" customWidth="1"/>
    <col min="4104" max="4104" width="13.33203125" style="2" customWidth="1"/>
    <col min="4105" max="4105" width="12.6640625" style="2" customWidth="1"/>
    <col min="4106" max="4106" width="17.6640625" style="2" customWidth="1"/>
    <col min="4107" max="4107" width="27.44140625" style="2" customWidth="1"/>
    <col min="4108" max="4108" width="26.33203125" style="2" customWidth="1"/>
    <col min="4109" max="4109" width="24.88671875" style="2" customWidth="1"/>
    <col min="4110" max="4110" width="19.44140625" style="2" customWidth="1"/>
    <col min="4111" max="4111" width="17.109375" style="2" customWidth="1"/>
    <col min="4112" max="4112" width="16.6640625" style="2" customWidth="1"/>
    <col min="4113" max="4349" width="11.44140625" style="2"/>
    <col min="4350" max="4350" width="5.109375" style="2" customWidth="1"/>
    <col min="4351" max="4351" width="8.44140625" style="2" customWidth="1"/>
    <col min="4352" max="4352" width="11.44140625" style="2"/>
    <col min="4353" max="4353" width="54" style="2" customWidth="1"/>
    <col min="4354" max="4354" width="12.6640625" style="2" customWidth="1"/>
    <col min="4355" max="4355" width="12.33203125" style="2" bestFit="1" customWidth="1"/>
    <col min="4356" max="4356" width="8.6640625" style="2" bestFit="1" customWidth="1"/>
    <col min="4357" max="4357" width="9.44140625" style="2" bestFit="1" customWidth="1"/>
    <col min="4358" max="4358" width="11.44140625" style="2"/>
    <col min="4359" max="4359" width="8.6640625" style="2" bestFit="1" customWidth="1"/>
    <col min="4360" max="4360" width="13.33203125" style="2" customWidth="1"/>
    <col min="4361" max="4361" width="12.6640625" style="2" customWidth="1"/>
    <col min="4362" max="4362" width="17.6640625" style="2" customWidth="1"/>
    <col min="4363" max="4363" width="27.44140625" style="2" customWidth="1"/>
    <col min="4364" max="4364" width="26.33203125" style="2" customWidth="1"/>
    <col min="4365" max="4365" width="24.88671875" style="2" customWidth="1"/>
    <col min="4366" max="4366" width="19.44140625" style="2" customWidth="1"/>
    <col min="4367" max="4367" width="17.109375" style="2" customWidth="1"/>
    <col min="4368" max="4368" width="16.6640625" style="2" customWidth="1"/>
    <col min="4369" max="4605" width="11.44140625" style="2"/>
    <col min="4606" max="4606" width="5.109375" style="2" customWidth="1"/>
    <col min="4607" max="4607" width="8.44140625" style="2" customWidth="1"/>
    <col min="4608" max="4608" width="11.44140625" style="2"/>
    <col min="4609" max="4609" width="54" style="2" customWidth="1"/>
    <col min="4610" max="4610" width="12.6640625" style="2" customWidth="1"/>
    <col min="4611" max="4611" width="12.33203125" style="2" bestFit="1" customWidth="1"/>
    <col min="4612" max="4612" width="8.6640625" style="2" bestFit="1" customWidth="1"/>
    <col min="4613" max="4613" width="9.44140625" style="2" bestFit="1" customWidth="1"/>
    <col min="4614" max="4614" width="11.44140625" style="2"/>
    <col min="4615" max="4615" width="8.6640625" style="2" bestFit="1" customWidth="1"/>
    <col min="4616" max="4616" width="13.33203125" style="2" customWidth="1"/>
    <col min="4617" max="4617" width="12.6640625" style="2" customWidth="1"/>
    <col min="4618" max="4618" width="17.6640625" style="2" customWidth="1"/>
    <col min="4619" max="4619" width="27.44140625" style="2" customWidth="1"/>
    <col min="4620" max="4620" width="26.33203125" style="2" customWidth="1"/>
    <col min="4621" max="4621" width="24.88671875" style="2" customWidth="1"/>
    <col min="4622" max="4622" width="19.44140625" style="2" customWidth="1"/>
    <col min="4623" max="4623" width="17.109375" style="2" customWidth="1"/>
    <col min="4624" max="4624" width="16.6640625" style="2" customWidth="1"/>
    <col min="4625" max="4861" width="11.44140625" style="2"/>
    <col min="4862" max="4862" width="5.109375" style="2" customWidth="1"/>
    <col min="4863" max="4863" width="8.44140625" style="2" customWidth="1"/>
    <col min="4864" max="4864" width="11.44140625" style="2"/>
    <col min="4865" max="4865" width="54" style="2" customWidth="1"/>
    <col min="4866" max="4866" width="12.6640625" style="2" customWidth="1"/>
    <col min="4867" max="4867" width="12.33203125" style="2" bestFit="1" customWidth="1"/>
    <col min="4868" max="4868" width="8.6640625" style="2" bestFit="1" customWidth="1"/>
    <col min="4869" max="4869" width="9.44140625" style="2" bestFit="1" customWidth="1"/>
    <col min="4870" max="4870" width="11.44140625" style="2"/>
    <col min="4871" max="4871" width="8.6640625" style="2" bestFit="1" customWidth="1"/>
    <col min="4872" max="4872" width="13.33203125" style="2" customWidth="1"/>
    <col min="4873" max="4873" width="12.6640625" style="2" customWidth="1"/>
    <col min="4874" max="4874" width="17.6640625" style="2" customWidth="1"/>
    <col min="4875" max="4875" width="27.44140625" style="2" customWidth="1"/>
    <col min="4876" max="4876" width="26.33203125" style="2" customWidth="1"/>
    <col min="4877" max="4877" width="24.88671875" style="2" customWidth="1"/>
    <col min="4878" max="4878" width="19.44140625" style="2" customWidth="1"/>
    <col min="4879" max="4879" width="17.109375" style="2" customWidth="1"/>
    <col min="4880" max="4880" width="16.6640625" style="2" customWidth="1"/>
    <col min="4881" max="5117" width="11.44140625" style="2"/>
    <col min="5118" max="5118" width="5.109375" style="2" customWidth="1"/>
    <col min="5119" max="5119" width="8.44140625" style="2" customWidth="1"/>
    <col min="5120" max="5120" width="11.44140625" style="2"/>
    <col min="5121" max="5121" width="54" style="2" customWidth="1"/>
    <col min="5122" max="5122" width="12.6640625" style="2" customWidth="1"/>
    <col min="5123" max="5123" width="12.33203125" style="2" bestFit="1" customWidth="1"/>
    <col min="5124" max="5124" width="8.6640625" style="2" bestFit="1" customWidth="1"/>
    <col min="5125" max="5125" width="9.44140625" style="2" bestFit="1" customWidth="1"/>
    <col min="5126" max="5126" width="11.44140625" style="2"/>
    <col min="5127" max="5127" width="8.6640625" style="2" bestFit="1" customWidth="1"/>
    <col min="5128" max="5128" width="13.33203125" style="2" customWidth="1"/>
    <col min="5129" max="5129" width="12.6640625" style="2" customWidth="1"/>
    <col min="5130" max="5130" width="17.6640625" style="2" customWidth="1"/>
    <col min="5131" max="5131" width="27.44140625" style="2" customWidth="1"/>
    <col min="5132" max="5132" width="26.33203125" style="2" customWidth="1"/>
    <col min="5133" max="5133" width="24.88671875" style="2" customWidth="1"/>
    <col min="5134" max="5134" width="19.44140625" style="2" customWidth="1"/>
    <col min="5135" max="5135" width="17.109375" style="2" customWidth="1"/>
    <col min="5136" max="5136" width="16.6640625" style="2" customWidth="1"/>
    <col min="5137" max="5373" width="11.44140625" style="2"/>
    <col min="5374" max="5374" width="5.109375" style="2" customWidth="1"/>
    <col min="5375" max="5375" width="8.44140625" style="2" customWidth="1"/>
    <col min="5376" max="5376" width="11.44140625" style="2"/>
    <col min="5377" max="5377" width="54" style="2" customWidth="1"/>
    <col min="5378" max="5378" width="12.6640625" style="2" customWidth="1"/>
    <col min="5379" max="5379" width="12.33203125" style="2" bestFit="1" customWidth="1"/>
    <col min="5380" max="5380" width="8.6640625" style="2" bestFit="1" customWidth="1"/>
    <col min="5381" max="5381" width="9.44140625" style="2" bestFit="1" customWidth="1"/>
    <col min="5382" max="5382" width="11.44140625" style="2"/>
    <col min="5383" max="5383" width="8.6640625" style="2" bestFit="1" customWidth="1"/>
    <col min="5384" max="5384" width="13.33203125" style="2" customWidth="1"/>
    <col min="5385" max="5385" width="12.6640625" style="2" customWidth="1"/>
    <col min="5386" max="5386" width="17.6640625" style="2" customWidth="1"/>
    <col min="5387" max="5387" width="27.44140625" style="2" customWidth="1"/>
    <col min="5388" max="5388" width="26.33203125" style="2" customWidth="1"/>
    <col min="5389" max="5389" width="24.88671875" style="2" customWidth="1"/>
    <col min="5390" max="5390" width="19.44140625" style="2" customWidth="1"/>
    <col min="5391" max="5391" width="17.109375" style="2" customWidth="1"/>
    <col min="5392" max="5392" width="16.6640625" style="2" customWidth="1"/>
    <col min="5393" max="5629" width="11.44140625" style="2"/>
    <col min="5630" max="5630" width="5.109375" style="2" customWidth="1"/>
    <col min="5631" max="5631" width="8.44140625" style="2" customWidth="1"/>
    <col min="5632" max="5632" width="11.44140625" style="2"/>
    <col min="5633" max="5633" width="54" style="2" customWidth="1"/>
    <col min="5634" max="5634" width="12.6640625" style="2" customWidth="1"/>
    <col min="5635" max="5635" width="12.33203125" style="2" bestFit="1" customWidth="1"/>
    <col min="5636" max="5636" width="8.6640625" style="2" bestFit="1" customWidth="1"/>
    <col min="5637" max="5637" width="9.44140625" style="2" bestFit="1" customWidth="1"/>
    <col min="5638" max="5638" width="11.44140625" style="2"/>
    <col min="5639" max="5639" width="8.6640625" style="2" bestFit="1" customWidth="1"/>
    <col min="5640" max="5640" width="13.33203125" style="2" customWidth="1"/>
    <col min="5641" max="5641" width="12.6640625" style="2" customWidth="1"/>
    <col min="5642" max="5642" width="17.6640625" style="2" customWidth="1"/>
    <col min="5643" max="5643" width="27.44140625" style="2" customWidth="1"/>
    <col min="5644" max="5644" width="26.33203125" style="2" customWidth="1"/>
    <col min="5645" max="5645" width="24.88671875" style="2" customWidth="1"/>
    <col min="5646" max="5646" width="19.44140625" style="2" customWidth="1"/>
    <col min="5647" max="5647" width="17.109375" style="2" customWidth="1"/>
    <col min="5648" max="5648" width="16.6640625" style="2" customWidth="1"/>
    <col min="5649" max="5885" width="11.44140625" style="2"/>
    <col min="5886" max="5886" width="5.109375" style="2" customWidth="1"/>
    <col min="5887" max="5887" width="8.44140625" style="2" customWidth="1"/>
    <col min="5888" max="5888" width="11.44140625" style="2"/>
    <col min="5889" max="5889" width="54" style="2" customWidth="1"/>
    <col min="5890" max="5890" width="12.6640625" style="2" customWidth="1"/>
    <col min="5891" max="5891" width="12.33203125" style="2" bestFit="1" customWidth="1"/>
    <col min="5892" max="5892" width="8.6640625" style="2" bestFit="1" customWidth="1"/>
    <col min="5893" max="5893" width="9.44140625" style="2" bestFit="1" customWidth="1"/>
    <col min="5894" max="5894" width="11.44140625" style="2"/>
    <col min="5895" max="5895" width="8.6640625" style="2" bestFit="1" customWidth="1"/>
    <col min="5896" max="5896" width="13.33203125" style="2" customWidth="1"/>
    <col min="5897" max="5897" width="12.6640625" style="2" customWidth="1"/>
    <col min="5898" max="5898" width="17.6640625" style="2" customWidth="1"/>
    <col min="5899" max="5899" width="27.44140625" style="2" customWidth="1"/>
    <col min="5900" max="5900" width="26.33203125" style="2" customWidth="1"/>
    <col min="5901" max="5901" width="24.88671875" style="2" customWidth="1"/>
    <col min="5902" max="5902" width="19.44140625" style="2" customWidth="1"/>
    <col min="5903" max="5903" width="17.109375" style="2" customWidth="1"/>
    <col min="5904" max="5904" width="16.6640625" style="2" customWidth="1"/>
    <col min="5905" max="6141" width="11.44140625" style="2"/>
    <col min="6142" max="6142" width="5.109375" style="2" customWidth="1"/>
    <col min="6143" max="6143" width="8.44140625" style="2" customWidth="1"/>
    <col min="6144" max="6144" width="11.44140625" style="2"/>
    <col min="6145" max="6145" width="54" style="2" customWidth="1"/>
    <col min="6146" max="6146" width="12.6640625" style="2" customWidth="1"/>
    <col min="6147" max="6147" width="12.33203125" style="2" bestFit="1" customWidth="1"/>
    <col min="6148" max="6148" width="8.6640625" style="2" bestFit="1" customWidth="1"/>
    <col min="6149" max="6149" width="9.44140625" style="2" bestFit="1" customWidth="1"/>
    <col min="6150" max="6150" width="11.44140625" style="2"/>
    <col min="6151" max="6151" width="8.6640625" style="2" bestFit="1" customWidth="1"/>
    <col min="6152" max="6152" width="13.33203125" style="2" customWidth="1"/>
    <col min="6153" max="6153" width="12.6640625" style="2" customWidth="1"/>
    <col min="6154" max="6154" width="17.6640625" style="2" customWidth="1"/>
    <col min="6155" max="6155" width="27.44140625" style="2" customWidth="1"/>
    <col min="6156" max="6156" width="26.33203125" style="2" customWidth="1"/>
    <col min="6157" max="6157" width="24.88671875" style="2" customWidth="1"/>
    <col min="6158" max="6158" width="19.44140625" style="2" customWidth="1"/>
    <col min="6159" max="6159" width="17.109375" style="2" customWidth="1"/>
    <col min="6160" max="6160" width="16.6640625" style="2" customWidth="1"/>
    <col min="6161" max="6397" width="11.44140625" style="2"/>
    <col min="6398" max="6398" width="5.109375" style="2" customWidth="1"/>
    <col min="6399" max="6399" width="8.44140625" style="2" customWidth="1"/>
    <col min="6400" max="6400" width="11.44140625" style="2"/>
    <col min="6401" max="6401" width="54" style="2" customWidth="1"/>
    <col min="6402" max="6402" width="12.6640625" style="2" customWidth="1"/>
    <col min="6403" max="6403" width="12.33203125" style="2" bestFit="1" customWidth="1"/>
    <col min="6404" max="6404" width="8.6640625" style="2" bestFit="1" customWidth="1"/>
    <col min="6405" max="6405" width="9.44140625" style="2" bestFit="1" customWidth="1"/>
    <col min="6406" max="6406" width="11.44140625" style="2"/>
    <col min="6407" max="6407" width="8.6640625" style="2" bestFit="1" customWidth="1"/>
    <col min="6408" max="6408" width="13.33203125" style="2" customWidth="1"/>
    <col min="6409" max="6409" width="12.6640625" style="2" customWidth="1"/>
    <col min="6410" max="6410" width="17.6640625" style="2" customWidth="1"/>
    <col min="6411" max="6411" width="27.44140625" style="2" customWidth="1"/>
    <col min="6412" max="6412" width="26.33203125" style="2" customWidth="1"/>
    <col min="6413" max="6413" width="24.88671875" style="2" customWidth="1"/>
    <col min="6414" max="6414" width="19.44140625" style="2" customWidth="1"/>
    <col min="6415" max="6415" width="17.109375" style="2" customWidth="1"/>
    <col min="6416" max="6416" width="16.6640625" style="2" customWidth="1"/>
    <col min="6417" max="6653" width="11.44140625" style="2"/>
    <col min="6654" max="6654" width="5.109375" style="2" customWidth="1"/>
    <col min="6655" max="6655" width="8.44140625" style="2" customWidth="1"/>
    <col min="6656" max="6656" width="11.44140625" style="2"/>
    <col min="6657" max="6657" width="54" style="2" customWidth="1"/>
    <col min="6658" max="6658" width="12.6640625" style="2" customWidth="1"/>
    <col min="6659" max="6659" width="12.33203125" style="2" bestFit="1" customWidth="1"/>
    <col min="6660" max="6660" width="8.6640625" style="2" bestFit="1" customWidth="1"/>
    <col min="6661" max="6661" width="9.44140625" style="2" bestFit="1" customWidth="1"/>
    <col min="6662" max="6662" width="11.44140625" style="2"/>
    <col min="6663" max="6663" width="8.6640625" style="2" bestFit="1" customWidth="1"/>
    <col min="6664" max="6664" width="13.33203125" style="2" customWidth="1"/>
    <col min="6665" max="6665" width="12.6640625" style="2" customWidth="1"/>
    <col min="6666" max="6666" width="17.6640625" style="2" customWidth="1"/>
    <col min="6667" max="6667" width="27.44140625" style="2" customWidth="1"/>
    <col min="6668" max="6668" width="26.33203125" style="2" customWidth="1"/>
    <col min="6669" max="6669" width="24.88671875" style="2" customWidth="1"/>
    <col min="6670" max="6670" width="19.44140625" style="2" customWidth="1"/>
    <col min="6671" max="6671" width="17.109375" style="2" customWidth="1"/>
    <col min="6672" max="6672" width="16.6640625" style="2" customWidth="1"/>
    <col min="6673" max="6909" width="11.44140625" style="2"/>
    <col min="6910" max="6910" width="5.109375" style="2" customWidth="1"/>
    <col min="6911" max="6911" width="8.44140625" style="2" customWidth="1"/>
    <col min="6912" max="6912" width="11.44140625" style="2"/>
    <col min="6913" max="6913" width="54" style="2" customWidth="1"/>
    <col min="6914" max="6914" width="12.6640625" style="2" customWidth="1"/>
    <col min="6915" max="6915" width="12.33203125" style="2" bestFit="1" customWidth="1"/>
    <col min="6916" max="6916" width="8.6640625" style="2" bestFit="1" customWidth="1"/>
    <col min="6917" max="6917" width="9.44140625" style="2" bestFit="1" customWidth="1"/>
    <col min="6918" max="6918" width="11.44140625" style="2"/>
    <col min="6919" max="6919" width="8.6640625" style="2" bestFit="1" customWidth="1"/>
    <col min="6920" max="6920" width="13.33203125" style="2" customWidth="1"/>
    <col min="6921" max="6921" width="12.6640625" style="2" customWidth="1"/>
    <col min="6922" max="6922" width="17.6640625" style="2" customWidth="1"/>
    <col min="6923" max="6923" width="27.44140625" style="2" customWidth="1"/>
    <col min="6924" max="6924" width="26.33203125" style="2" customWidth="1"/>
    <col min="6925" max="6925" width="24.88671875" style="2" customWidth="1"/>
    <col min="6926" max="6926" width="19.44140625" style="2" customWidth="1"/>
    <col min="6927" max="6927" width="17.109375" style="2" customWidth="1"/>
    <col min="6928" max="6928" width="16.6640625" style="2" customWidth="1"/>
    <col min="6929" max="7165" width="11.44140625" style="2"/>
    <col min="7166" max="7166" width="5.109375" style="2" customWidth="1"/>
    <col min="7167" max="7167" width="8.44140625" style="2" customWidth="1"/>
    <col min="7168" max="7168" width="11.44140625" style="2"/>
    <col min="7169" max="7169" width="54" style="2" customWidth="1"/>
    <col min="7170" max="7170" width="12.6640625" style="2" customWidth="1"/>
    <col min="7171" max="7171" width="12.33203125" style="2" bestFit="1" customWidth="1"/>
    <col min="7172" max="7172" width="8.6640625" style="2" bestFit="1" customWidth="1"/>
    <col min="7173" max="7173" width="9.44140625" style="2" bestFit="1" customWidth="1"/>
    <col min="7174" max="7174" width="11.44140625" style="2"/>
    <col min="7175" max="7175" width="8.6640625" style="2" bestFit="1" customWidth="1"/>
    <col min="7176" max="7176" width="13.33203125" style="2" customWidth="1"/>
    <col min="7177" max="7177" width="12.6640625" style="2" customWidth="1"/>
    <col min="7178" max="7178" width="17.6640625" style="2" customWidth="1"/>
    <col min="7179" max="7179" width="27.44140625" style="2" customWidth="1"/>
    <col min="7180" max="7180" width="26.33203125" style="2" customWidth="1"/>
    <col min="7181" max="7181" width="24.88671875" style="2" customWidth="1"/>
    <col min="7182" max="7182" width="19.44140625" style="2" customWidth="1"/>
    <col min="7183" max="7183" width="17.109375" style="2" customWidth="1"/>
    <col min="7184" max="7184" width="16.6640625" style="2" customWidth="1"/>
    <col min="7185" max="7421" width="11.44140625" style="2"/>
    <col min="7422" max="7422" width="5.109375" style="2" customWidth="1"/>
    <col min="7423" max="7423" width="8.44140625" style="2" customWidth="1"/>
    <col min="7424" max="7424" width="11.44140625" style="2"/>
    <col min="7425" max="7425" width="54" style="2" customWidth="1"/>
    <col min="7426" max="7426" width="12.6640625" style="2" customWidth="1"/>
    <col min="7427" max="7427" width="12.33203125" style="2" bestFit="1" customWidth="1"/>
    <col min="7428" max="7428" width="8.6640625" style="2" bestFit="1" customWidth="1"/>
    <col min="7429" max="7429" width="9.44140625" style="2" bestFit="1" customWidth="1"/>
    <col min="7430" max="7430" width="11.44140625" style="2"/>
    <col min="7431" max="7431" width="8.6640625" style="2" bestFit="1" customWidth="1"/>
    <col min="7432" max="7432" width="13.33203125" style="2" customWidth="1"/>
    <col min="7433" max="7433" width="12.6640625" style="2" customWidth="1"/>
    <col min="7434" max="7434" width="17.6640625" style="2" customWidth="1"/>
    <col min="7435" max="7435" width="27.44140625" style="2" customWidth="1"/>
    <col min="7436" max="7436" width="26.33203125" style="2" customWidth="1"/>
    <col min="7437" max="7437" width="24.88671875" style="2" customWidth="1"/>
    <col min="7438" max="7438" width="19.44140625" style="2" customWidth="1"/>
    <col min="7439" max="7439" width="17.109375" style="2" customWidth="1"/>
    <col min="7440" max="7440" width="16.6640625" style="2" customWidth="1"/>
    <col min="7441" max="7677" width="11.44140625" style="2"/>
    <col min="7678" max="7678" width="5.109375" style="2" customWidth="1"/>
    <col min="7679" max="7679" width="8.44140625" style="2" customWidth="1"/>
    <col min="7680" max="7680" width="11.44140625" style="2"/>
    <col min="7681" max="7681" width="54" style="2" customWidth="1"/>
    <col min="7682" max="7682" width="12.6640625" style="2" customWidth="1"/>
    <col min="7683" max="7683" width="12.33203125" style="2" bestFit="1" customWidth="1"/>
    <col min="7684" max="7684" width="8.6640625" style="2" bestFit="1" customWidth="1"/>
    <col min="7685" max="7685" width="9.44140625" style="2" bestFit="1" customWidth="1"/>
    <col min="7686" max="7686" width="11.44140625" style="2"/>
    <col min="7687" max="7687" width="8.6640625" style="2" bestFit="1" customWidth="1"/>
    <col min="7688" max="7688" width="13.33203125" style="2" customWidth="1"/>
    <col min="7689" max="7689" width="12.6640625" style="2" customWidth="1"/>
    <col min="7690" max="7690" width="17.6640625" style="2" customWidth="1"/>
    <col min="7691" max="7691" width="27.44140625" style="2" customWidth="1"/>
    <col min="7692" max="7692" width="26.33203125" style="2" customWidth="1"/>
    <col min="7693" max="7693" width="24.88671875" style="2" customWidth="1"/>
    <col min="7694" max="7694" width="19.44140625" style="2" customWidth="1"/>
    <col min="7695" max="7695" width="17.109375" style="2" customWidth="1"/>
    <col min="7696" max="7696" width="16.6640625" style="2" customWidth="1"/>
    <col min="7697" max="7933" width="11.44140625" style="2"/>
    <col min="7934" max="7934" width="5.109375" style="2" customWidth="1"/>
    <col min="7935" max="7935" width="8.44140625" style="2" customWidth="1"/>
    <col min="7936" max="7936" width="11.44140625" style="2"/>
    <col min="7937" max="7937" width="54" style="2" customWidth="1"/>
    <col min="7938" max="7938" width="12.6640625" style="2" customWidth="1"/>
    <col min="7939" max="7939" width="12.33203125" style="2" bestFit="1" customWidth="1"/>
    <col min="7940" max="7940" width="8.6640625" style="2" bestFit="1" customWidth="1"/>
    <col min="7941" max="7941" width="9.44140625" style="2" bestFit="1" customWidth="1"/>
    <col min="7942" max="7942" width="11.44140625" style="2"/>
    <col min="7943" max="7943" width="8.6640625" style="2" bestFit="1" customWidth="1"/>
    <col min="7944" max="7944" width="13.33203125" style="2" customWidth="1"/>
    <col min="7945" max="7945" width="12.6640625" style="2" customWidth="1"/>
    <col min="7946" max="7946" width="17.6640625" style="2" customWidth="1"/>
    <col min="7947" max="7947" width="27.44140625" style="2" customWidth="1"/>
    <col min="7948" max="7948" width="26.33203125" style="2" customWidth="1"/>
    <col min="7949" max="7949" width="24.88671875" style="2" customWidth="1"/>
    <col min="7950" max="7950" width="19.44140625" style="2" customWidth="1"/>
    <col min="7951" max="7951" width="17.109375" style="2" customWidth="1"/>
    <col min="7952" max="7952" width="16.6640625" style="2" customWidth="1"/>
    <col min="7953" max="8189" width="11.44140625" style="2"/>
    <col min="8190" max="8190" width="5.109375" style="2" customWidth="1"/>
    <col min="8191" max="8191" width="8.44140625" style="2" customWidth="1"/>
    <col min="8192" max="8192" width="11.44140625" style="2"/>
    <col min="8193" max="8193" width="54" style="2" customWidth="1"/>
    <col min="8194" max="8194" width="12.6640625" style="2" customWidth="1"/>
    <col min="8195" max="8195" width="12.33203125" style="2" bestFit="1" customWidth="1"/>
    <col min="8196" max="8196" width="8.6640625" style="2" bestFit="1" customWidth="1"/>
    <col min="8197" max="8197" width="9.44140625" style="2" bestFit="1" customWidth="1"/>
    <col min="8198" max="8198" width="11.44140625" style="2"/>
    <col min="8199" max="8199" width="8.6640625" style="2" bestFit="1" customWidth="1"/>
    <col min="8200" max="8200" width="13.33203125" style="2" customWidth="1"/>
    <col min="8201" max="8201" width="12.6640625" style="2" customWidth="1"/>
    <col min="8202" max="8202" width="17.6640625" style="2" customWidth="1"/>
    <col min="8203" max="8203" width="27.44140625" style="2" customWidth="1"/>
    <col min="8204" max="8204" width="26.33203125" style="2" customWidth="1"/>
    <col min="8205" max="8205" width="24.88671875" style="2" customWidth="1"/>
    <col min="8206" max="8206" width="19.44140625" style="2" customWidth="1"/>
    <col min="8207" max="8207" width="17.109375" style="2" customWidth="1"/>
    <col min="8208" max="8208" width="16.6640625" style="2" customWidth="1"/>
    <col min="8209" max="8445" width="11.44140625" style="2"/>
    <col min="8446" max="8446" width="5.109375" style="2" customWidth="1"/>
    <col min="8447" max="8447" width="8.44140625" style="2" customWidth="1"/>
    <col min="8448" max="8448" width="11.44140625" style="2"/>
    <col min="8449" max="8449" width="54" style="2" customWidth="1"/>
    <col min="8450" max="8450" width="12.6640625" style="2" customWidth="1"/>
    <col min="8451" max="8451" width="12.33203125" style="2" bestFit="1" customWidth="1"/>
    <col min="8452" max="8452" width="8.6640625" style="2" bestFit="1" customWidth="1"/>
    <col min="8453" max="8453" width="9.44140625" style="2" bestFit="1" customWidth="1"/>
    <col min="8454" max="8454" width="11.44140625" style="2"/>
    <col min="8455" max="8455" width="8.6640625" style="2" bestFit="1" customWidth="1"/>
    <col min="8456" max="8456" width="13.33203125" style="2" customWidth="1"/>
    <col min="8457" max="8457" width="12.6640625" style="2" customWidth="1"/>
    <col min="8458" max="8458" width="17.6640625" style="2" customWidth="1"/>
    <col min="8459" max="8459" width="27.44140625" style="2" customWidth="1"/>
    <col min="8460" max="8460" width="26.33203125" style="2" customWidth="1"/>
    <col min="8461" max="8461" width="24.88671875" style="2" customWidth="1"/>
    <col min="8462" max="8462" width="19.44140625" style="2" customWidth="1"/>
    <col min="8463" max="8463" width="17.109375" style="2" customWidth="1"/>
    <col min="8464" max="8464" width="16.6640625" style="2" customWidth="1"/>
    <col min="8465" max="8701" width="11.44140625" style="2"/>
    <col min="8702" max="8702" width="5.109375" style="2" customWidth="1"/>
    <col min="8703" max="8703" width="8.44140625" style="2" customWidth="1"/>
    <col min="8704" max="8704" width="11.44140625" style="2"/>
    <col min="8705" max="8705" width="54" style="2" customWidth="1"/>
    <col min="8706" max="8706" width="12.6640625" style="2" customWidth="1"/>
    <col min="8707" max="8707" width="12.33203125" style="2" bestFit="1" customWidth="1"/>
    <col min="8708" max="8708" width="8.6640625" style="2" bestFit="1" customWidth="1"/>
    <col min="8709" max="8709" width="9.44140625" style="2" bestFit="1" customWidth="1"/>
    <col min="8710" max="8710" width="11.44140625" style="2"/>
    <col min="8711" max="8711" width="8.6640625" style="2" bestFit="1" customWidth="1"/>
    <col min="8712" max="8712" width="13.33203125" style="2" customWidth="1"/>
    <col min="8713" max="8713" width="12.6640625" style="2" customWidth="1"/>
    <col min="8714" max="8714" width="17.6640625" style="2" customWidth="1"/>
    <col min="8715" max="8715" width="27.44140625" style="2" customWidth="1"/>
    <col min="8716" max="8716" width="26.33203125" style="2" customWidth="1"/>
    <col min="8717" max="8717" width="24.88671875" style="2" customWidth="1"/>
    <col min="8718" max="8718" width="19.44140625" style="2" customWidth="1"/>
    <col min="8719" max="8719" width="17.109375" style="2" customWidth="1"/>
    <col min="8720" max="8720" width="16.6640625" style="2" customWidth="1"/>
    <col min="8721" max="8957" width="11.44140625" style="2"/>
    <col min="8958" max="8958" width="5.109375" style="2" customWidth="1"/>
    <col min="8959" max="8959" width="8.44140625" style="2" customWidth="1"/>
    <col min="8960" max="8960" width="11.44140625" style="2"/>
    <col min="8961" max="8961" width="54" style="2" customWidth="1"/>
    <col min="8962" max="8962" width="12.6640625" style="2" customWidth="1"/>
    <col min="8963" max="8963" width="12.33203125" style="2" bestFit="1" customWidth="1"/>
    <col min="8964" max="8964" width="8.6640625" style="2" bestFit="1" customWidth="1"/>
    <col min="8965" max="8965" width="9.44140625" style="2" bestFit="1" customWidth="1"/>
    <col min="8966" max="8966" width="11.44140625" style="2"/>
    <col min="8967" max="8967" width="8.6640625" style="2" bestFit="1" customWidth="1"/>
    <col min="8968" max="8968" width="13.33203125" style="2" customWidth="1"/>
    <col min="8969" max="8969" width="12.6640625" style="2" customWidth="1"/>
    <col min="8970" max="8970" width="17.6640625" style="2" customWidth="1"/>
    <col min="8971" max="8971" width="27.44140625" style="2" customWidth="1"/>
    <col min="8972" max="8972" width="26.33203125" style="2" customWidth="1"/>
    <col min="8973" max="8973" width="24.88671875" style="2" customWidth="1"/>
    <col min="8974" max="8974" width="19.44140625" style="2" customWidth="1"/>
    <col min="8975" max="8975" width="17.109375" style="2" customWidth="1"/>
    <col min="8976" max="8976" width="16.6640625" style="2" customWidth="1"/>
    <col min="8977" max="9213" width="11.44140625" style="2"/>
    <col min="9214" max="9214" width="5.109375" style="2" customWidth="1"/>
    <col min="9215" max="9215" width="8.44140625" style="2" customWidth="1"/>
    <col min="9216" max="9216" width="11.44140625" style="2"/>
    <col min="9217" max="9217" width="54" style="2" customWidth="1"/>
    <col min="9218" max="9218" width="12.6640625" style="2" customWidth="1"/>
    <col min="9219" max="9219" width="12.33203125" style="2" bestFit="1" customWidth="1"/>
    <col min="9220" max="9220" width="8.6640625" style="2" bestFit="1" customWidth="1"/>
    <col min="9221" max="9221" width="9.44140625" style="2" bestFit="1" customWidth="1"/>
    <col min="9222" max="9222" width="11.44140625" style="2"/>
    <col min="9223" max="9223" width="8.6640625" style="2" bestFit="1" customWidth="1"/>
    <col min="9224" max="9224" width="13.33203125" style="2" customWidth="1"/>
    <col min="9225" max="9225" width="12.6640625" style="2" customWidth="1"/>
    <col min="9226" max="9226" width="17.6640625" style="2" customWidth="1"/>
    <col min="9227" max="9227" width="27.44140625" style="2" customWidth="1"/>
    <col min="9228" max="9228" width="26.33203125" style="2" customWidth="1"/>
    <col min="9229" max="9229" width="24.88671875" style="2" customWidth="1"/>
    <col min="9230" max="9230" width="19.44140625" style="2" customWidth="1"/>
    <col min="9231" max="9231" width="17.109375" style="2" customWidth="1"/>
    <col min="9232" max="9232" width="16.6640625" style="2" customWidth="1"/>
    <col min="9233" max="9469" width="11.44140625" style="2"/>
    <col min="9470" max="9470" width="5.109375" style="2" customWidth="1"/>
    <col min="9471" max="9471" width="8.44140625" style="2" customWidth="1"/>
    <col min="9472" max="9472" width="11.44140625" style="2"/>
    <col min="9473" max="9473" width="54" style="2" customWidth="1"/>
    <col min="9474" max="9474" width="12.6640625" style="2" customWidth="1"/>
    <col min="9475" max="9475" width="12.33203125" style="2" bestFit="1" customWidth="1"/>
    <col min="9476" max="9476" width="8.6640625" style="2" bestFit="1" customWidth="1"/>
    <col min="9477" max="9477" width="9.44140625" style="2" bestFit="1" customWidth="1"/>
    <col min="9478" max="9478" width="11.44140625" style="2"/>
    <col min="9479" max="9479" width="8.6640625" style="2" bestFit="1" customWidth="1"/>
    <col min="9480" max="9480" width="13.33203125" style="2" customWidth="1"/>
    <col min="9481" max="9481" width="12.6640625" style="2" customWidth="1"/>
    <col min="9482" max="9482" width="17.6640625" style="2" customWidth="1"/>
    <col min="9483" max="9483" width="27.44140625" style="2" customWidth="1"/>
    <col min="9484" max="9484" width="26.33203125" style="2" customWidth="1"/>
    <col min="9485" max="9485" width="24.88671875" style="2" customWidth="1"/>
    <col min="9486" max="9486" width="19.44140625" style="2" customWidth="1"/>
    <col min="9487" max="9487" width="17.109375" style="2" customWidth="1"/>
    <col min="9488" max="9488" width="16.6640625" style="2" customWidth="1"/>
    <col min="9489" max="9725" width="11.44140625" style="2"/>
    <col min="9726" max="9726" width="5.109375" style="2" customWidth="1"/>
    <col min="9727" max="9727" width="8.44140625" style="2" customWidth="1"/>
    <col min="9728" max="9728" width="11.44140625" style="2"/>
    <col min="9729" max="9729" width="54" style="2" customWidth="1"/>
    <col min="9730" max="9730" width="12.6640625" style="2" customWidth="1"/>
    <col min="9731" max="9731" width="12.33203125" style="2" bestFit="1" customWidth="1"/>
    <col min="9732" max="9732" width="8.6640625" style="2" bestFit="1" customWidth="1"/>
    <col min="9733" max="9733" width="9.44140625" style="2" bestFit="1" customWidth="1"/>
    <col min="9734" max="9734" width="11.44140625" style="2"/>
    <col min="9735" max="9735" width="8.6640625" style="2" bestFit="1" customWidth="1"/>
    <col min="9736" max="9736" width="13.33203125" style="2" customWidth="1"/>
    <col min="9737" max="9737" width="12.6640625" style="2" customWidth="1"/>
    <col min="9738" max="9738" width="17.6640625" style="2" customWidth="1"/>
    <col min="9739" max="9739" width="27.44140625" style="2" customWidth="1"/>
    <col min="9740" max="9740" width="26.33203125" style="2" customWidth="1"/>
    <col min="9741" max="9741" width="24.88671875" style="2" customWidth="1"/>
    <col min="9742" max="9742" width="19.44140625" style="2" customWidth="1"/>
    <col min="9743" max="9743" width="17.109375" style="2" customWidth="1"/>
    <col min="9744" max="9744" width="16.6640625" style="2" customWidth="1"/>
    <col min="9745" max="9981" width="11.44140625" style="2"/>
    <col min="9982" max="9982" width="5.109375" style="2" customWidth="1"/>
    <col min="9983" max="9983" width="8.44140625" style="2" customWidth="1"/>
    <col min="9984" max="9984" width="11.44140625" style="2"/>
    <col min="9985" max="9985" width="54" style="2" customWidth="1"/>
    <col min="9986" max="9986" width="12.6640625" style="2" customWidth="1"/>
    <col min="9987" max="9987" width="12.33203125" style="2" bestFit="1" customWidth="1"/>
    <col min="9988" max="9988" width="8.6640625" style="2" bestFit="1" customWidth="1"/>
    <col min="9989" max="9989" width="9.44140625" style="2" bestFit="1" customWidth="1"/>
    <col min="9990" max="9990" width="11.44140625" style="2"/>
    <col min="9991" max="9991" width="8.6640625" style="2" bestFit="1" customWidth="1"/>
    <col min="9992" max="9992" width="13.33203125" style="2" customWidth="1"/>
    <col min="9993" max="9993" width="12.6640625" style="2" customWidth="1"/>
    <col min="9994" max="9994" width="17.6640625" style="2" customWidth="1"/>
    <col min="9995" max="9995" width="27.44140625" style="2" customWidth="1"/>
    <col min="9996" max="9996" width="26.33203125" style="2" customWidth="1"/>
    <col min="9997" max="9997" width="24.88671875" style="2" customWidth="1"/>
    <col min="9998" max="9998" width="19.44140625" style="2" customWidth="1"/>
    <col min="9999" max="9999" width="17.109375" style="2" customWidth="1"/>
    <col min="10000" max="10000" width="16.6640625" style="2" customWidth="1"/>
    <col min="10001" max="10237" width="11.44140625" style="2"/>
    <col min="10238" max="10238" width="5.109375" style="2" customWidth="1"/>
    <col min="10239" max="10239" width="8.44140625" style="2" customWidth="1"/>
    <col min="10240" max="10240" width="11.44140625" style="2"/>
    <col min="10241" max="10241" width="54" style="2" customWidth="1"/>
    <col min="10242" max="10242" width="12.6640625" style="2" customWidth="1"/>
    <col min="10243" max="10243" width="12.33203125" style="2" bestFit="1" customWidth="1"/>
    <col min="10244" max="10244" width="8.6640625" style="2" bestFit="1" customWidth="1"/>
    <col min="10245" max="10245" width="9.44140625" style="2" bestFit="1" customWidth="1"/>
    <col min="10246" max="10246" width="11.44140625" style="2"/>
    <col min="10247" max="10247" width="8.6640625" style="2" bestFit="1" customWidth="1"/>
    <col min="10248" max="10248" width="13.33203125" style="2" customWidth="1"/>
    <col min="10249" max="10249" width="12.6640625" style="2" customWidth="1"/>
    <col min="10250" max="10250" width="17.6640625" style="2" customWidth="1"/>
    <col min="10251" max="10251" width="27.44140625" style="2" customWidth="1"/>
    <col min="10252" max="10252" width="26.33203125" style="2" customWidth="1"/>
    <col min="10253" max="10253" width="24.88671875" style="2" customWidth="1"/>
    <col min="10254" max="10254" width="19.44140625" style="2" customWidth="1"/>
    <col min="10255" max="10255" width="17.109375" style="2" customWidth="1"/>
    <col min="10256" max="10256" width="16.6640625" style="2" customWidth="1"/>
    <col min="10257" max="10493" width="11.44140625" style="2"/>
    <col min="10494" max="10494" width="5.109375" style="2" customWidth="1"/>
    <col min="10495" max="10495" width="8.44140625" style="2" customWidth="1"/>
    <col min="10496" max="10496" width="11.44140625" style="2"/>
    <col min="10497" max="10497" width="54" style="2" customWidth="1"/>
    <col min="10498" max="10498" width="12.6640625" style="2" customWidth="1"/>
    <col min="10499" max="10499" width="12.33203125" style="2" bestFit="1" customWidth="1"/>
    <col min="10500" max="10500" width="8.6640625" style="2" bestFit="1" customWidth="1"/>
    <col min="10501" max="10501" width="9.44140625" style="2" bestFit="1" customWidth="1"/>
    <col min="10502" max="10502" width="11.44140625" style="2"/>
    <col min="10503" max="10503" width="8.6640625" style="2" bestFit="1" customWidth="1"/>
    <col min="10504" max="10504" width="13.33203125" style="2" customWidth="1"/>
    <col min="10505" max="10505" width="12.6640625" style="2" customWidth="1"/>
    <col min="10506" max="10506" width="17.6640625" style="2" customWidth="1"/>
    <col min="10507" max="10507" width="27.44140625" style="2" customWidth="1"/>
    <col min="10508" max="10508" width="26.33203125" style="2" customWidth="1"/>
    <col min="10509" max="10509" width="24.88671875" style="2" customWidth="1"/>
    <col min="10510" max="10510" width="19.44140625" style="2" customWidth="1"/>
    <col min="10511" max="10511" width="17.109375" style="2" customWidth="1"/>
    <col min="10512" max="10512" width="16.6640625" style="2" customWidth="1"/>
    <col min="10513" max="10749" width="11.44140625" style="2"/>
    <col min="10750" max="10750" width="5.109375" style="2" customWidth="1"/>
    <col min="10751" max="10751" width="8.44140625" style="2" customWidth="1"/>
    <col min="10752" max="10752" width="11.44140625" style="2"/>
    <col min="10753" max="10753" width="54" style="2" customWidth="1"/>
    <col min="10754" max="10754" width="12.6640625" style="2" customWidth="1"/>
    <col min="10755" max="10755" width="12.33203125" style="2" bestFit="1" customWidth="1"/>
    <col min="10756" max="10756" width="8.6640625" style="2" bestFit="1" customWidth="1"/>
    <col min="10757" max="10757" width="9.44140625" style="2" bestFit="1" customWidth="1"/>
    <col min="10758" max="10758" width="11.44140625" style="2"/>
    <col min="10759" max="10759" width="8.6640625" style="2" bestFit="1" customWidth="1"/>
    <col min="10760" max="10760" width="13.33203125" style="2" customWidth="1"/>
    <col min="10761" max="10761" width="12.6640625" style="2" customWidth="1"/>
    <col min="10762" max="10762" width="17.6640625" style="2" customWidth="1"/>
    <col min="10763" max="10763" width="27.44140625" style="2" customWidth="1"/>
    <col min="10764" max="10764" width="26.33203125" style="2" customWidth="1"/>
    <col min="10765" max="10765" width="24.88671875" style="2" customWidth="1"/>
    <col min="10766" max="10766" width="19.44140625" style="2" customWidth="1"/>
    <col min="10767" max="10767" width="17.109375" style="2" customWidth="1"/>
    <col min="10768" max="10768" width="16.6640625" style="2" customWidth="1"/>
    <col min="10769" max="11005" width="11.44140625" style="2"/>
    <col min="11006" max="11006" width="5.109375" style="2" customWidth="1"/>
    <col min="11007" max="11007" width="8.44140625" style="2" customWidth="1"/>
    <col min="11008" max="11008" width="11.44140625" style="2"/>
    <col min="11009" max="11009" width="54" style="2" customWidth="1"/>
    <col min="11010" max="11010" width="12.6640625" style="2" customWidth="1"/>
    <col min="11011" max="11011" width="12.33203125" style="2" bestFit="1" customWidth="1"/>
    <col min="11012" max="11012" width="8.6640625" style="2" bestFit="1" customWidth="1"/>
    <col min="11013" max="11013" width="9.44140625" style="2" bestFit="1" customWidth="1"/>
    <col min="11014" max="11014" width="11.44140625" style="2"/>
    <col min="11015" max="11015" width="8.6640625" style="2" bestFit="1" customWidth="1"/>
    <col min="11016" max="11016" width="13.33203125" style="2" customWidth="1"/>
    <col min="11017" max="11017" width="12.6640625" style="2" customWidth="1"/>
    <col min="11018" max="11018" width="17.6640625" style="2" customWidth="1"/>
    <col min="11019" max="11019" width="27.44140625" style="2" customWidth="1"/>
    <col min="11020" max="11020" width="26.33203125" style="2" customWidth="1"/>
    <col min="11021" max="11021" width="24.88671875" style="2" customWidth="1"/>
    <col min="11022" max="11022" width="19.44140625" style="2" customWidth="1"/>
    <col min="11023" max="11023" width="17.109375" style="2" customWidth="1"/>
    <col min="11024" max="11024" width="16.6640625" style="2" customWidth="1"/>
    <col min="11025" max="11261" width="11.44140625" style="2"/>
    <col min="11262" max="11262" width="5.109375" style="2" customWidth="1"/>
    <col min="11263" max="11263" width="8.44140625" style="2" customWidth="1"/>
    <col min="11264" max="11264" width="11.44140625" style="2"/>
    <col min="11265" max="11265" width="54" style="2" customWidth="1"/>
    <col min="11266" max="11266" width="12.6640625" style="2" customWidth="1"/>
    <col min="11267" max="11267" width="12.33203125" style="2" bestFit="1" customWidth="1"/>
    <col min="11268" max="11268" width="8.6640625" style="2" bestFit="1" customWidth="1"/>
    <col min="11269" max="11269" width="9.44140625" style="2" bestFit="1" customWidth="1"/>
    <col min="11270" max="11270" width="11.44140625" style="2"/>
    <col min="11271" max="11271" width="8.6640625" style="2" bestFit="1" customWidth="1"/>
    <col min="11272" max="11272" width="13.33203125" style="2" customWidth="1"/>
    <col min="11273" max="11273" width="12.6640625" style="2" customWidth="1"/>
    <col min="11274" max="11274" width="17.6640625" style="2" customWidth="1"/>
    <col min="11275" max="11275" width="27.44140625" style="2" customWidth="1"/>
    <col min="11276" max="11276" width="26.33203125" style="2" customWidth="1"/>
    <col min="11277" max="11277" width="24.88671875" style="2" customWidth="1"/>
    <col min="11278" max="11278" width="19.44140625" style="2" customWidth="1"/>
    <col min="11279" max="11279" width="17.109375" style="2" customWidth="1"/>
    <col min="11280" max="11280" width="16.6640625" style="2" customWidth="1"/>
    <col min="11281" max="11517" width="11.44140625" style="2"/>
    <col min="11518" max="11518" width="5.109375" style="2" customWidth="1"/>
    <col min="11519" max="11519" width="8.44140625" style="2" customWidth="1"/>
    <col min="11520" max="11520" width="11.44140625" style="2"/>
    <col min="11521" max="11521" width="54" style="2" customWidth="1"/>
    <col min="11522" max="11522" width="12.6640625" style="2" customWidth="1"/>
    <col min="11523" max="11523" width="12.33203125" style="2" bestFit="1" customWidth="1"/>
    <col min="11524" max="11524" width="8.6640625" style="2" bestFit="1" customWidth="1"/>
    <col min="11525" max="11525" width="9.44140625" style="2" bestFit="1" customWidth="1"/>
    <col min="11526" max="11526" width="11.44140625" style="2"/>
    <col min="11527" max="11527" width="8.6640625" style="2" bestFit="1" customWidth="1"/>
    <col min="11528" max="11528" width="13.33203125" style="2" customWidth="1"/>
    <col min="11529" max="11529" width="12.6640625" style="2" customWidth="1"/>
    <col min="11530" max="11530" width="17.6640625" style="2" customWidth="1"/>
    <col min="11531" max="11531" width="27.44140625" style="2" customWidth="1"/>
    <col min="11532" max="11532" width="26.33203125" style="2" customWidth="1"/>
    <col min="11533" max="11533" width="24.88671875" style="2" customWidth="1"/>
    <col min="11534" max="11534" width="19.44140625" style="2" customWidth="1"/>
    <col min="11535" max="11535" width="17.109375" style="2" customWidth="1"/>
    <col min="11536" max="11536" width="16.6640625" style="2" customWidth="1"/>
    <col min="11537" max="11773" width="11.44140625" style="2"/>
    <col min="11774" max="11774" width="5.109375" style="2" customWidth="1"/>
    <col min="11775" max="11775" width="8.44140625" style="2" customWidth="1"/>
    <col min="11776" max="11776" width="11.44140625" style="2"/>
    <col min="11777" max="11777" width="54" style="2" customWidth="1"/>
    <col min="11778" max="11778" width="12.6640625" style="2" customWidth="1"/>
    <col min="11779" max="11779" width="12.33203125" style="2" bestFit="1" customWidth="1"/>
    <col min="11780" max="11780" width="8.6640625" style="2" bestFit="1" customWidth="1"/>
    <col min="11781" max="11781" width="9.44140625" style="2" bestFit="1" customWidth="1"/>
    <col min="11782" max="11782" width="11.44140625" style="2"/>
    <col min="11783" max="11783" width="8.6640625" style="2" bestFit="1" customWidth="1"/>
    <col min="11784" max="11784" width="13.33203125" style="2" customWidth="1"/>
    <col min="11785" max="11785" width="12.6640625" style="2" customWidth="1"/>
    <col min="11786" max="11786" width="17.6640625" style="2" customWidth="1"/>
    <col min="11787" max="11787" width="27.44140625" style="2" customWidth="1"/>
    <col min="11788" max="11788" width="26.33203125" style="2" customWidth="1"/>
    <col min="11789" max="11789" width="24.88671875" style="2" customWidth="1"/>
    <col min="11790" max="11790" width="19.44140625" style="2" customWidth="1"/>
    <col min="11791" max="11791" width="17.109375" style="2" customWidth="1"/>
    <col min="11792" max="11792" width="16.6640625" style="2" customWidth="1"/>
    <col min="11793" max="12029" width="11.44140625" style="2"/>
    <col min="12030" max="12030" width="5.109375" style="2" customWidth="1"/>
    <col min="12031" max="12031" width="8.44140625" style="2" customWidth="1"/>
    <col min="12032" max="12032" width="11.44140625" style="2"/>
    <col min="12033" max="12033" width="54" style="2" customWidth="1"/>
    <col min="12034" max="12034" width="12.6640625" style="2" customWidth="1"/>
    <col min="12035" max="12035" width="12.33203125" style="2" bestFit="1" customWidth="1"/>
    <col min="12036" max="12036" width="8.6640625" style="2" bestFit="1" customWidth="1"/>
    <col min="12037" max="12037" width="9.44140625" style="2" bestFit="1" customWidth="1"/>
    <col min="12038" max="12038" width="11.44140625" style="2"/>
    <col min="12039" max="12039" width="8.6640625" style="2" bestFit="1" customWidth="1"/>
    <col min="12040" max="12040" width="13.33203125" style="2" customWidth="1"/>
    <col min="12041" max="12041" width="12.6640625" style="2" customWidth="1"/>
    <col min="12042" max="12042" width="17.6640625" style="2" customWidth="1"/>
    <col min="12043" max="12043" width="27.44140625" style="2" customWidth="1"/>
    <col min="12044" max="12044" width="26.33203125" style="2" customWidth="1"/>
    <col min="12045" max="12045" width="24.88671875" style="2" customWidth="1"/>
    <col min="12046" max="12046" width="19.44140625" style="2" customWidth="1"/>
    <col min="12047" max="12047" width="17.109375" style="2" customWidth="1"/>
    <col min="12048" max="12048" width="16.6640625" style="2" customWidth="1"/>
    <col min="12049" max="12285" width="11.44140625" style="2"/>
    <col min="12286" max="12286" width="5.109375" style="2" customWidth="1"/>
    <col min="12287" max="12287" width="8.44140625" style="2" customWidth="1"/>
    <col min="12288" max="12288" width="11.44140625" style="2"/>
    <col min="12289" max="12289" width="54" style="2" customWidth="1"/>
    <col min="12290" max="12290" width="12.6640625" style="2" customWidth="1"/>
    <col min="12291" max="12291" width="12.33203125" style="2" bestFit="1" customWidth="1"/>
    <col min="12292" max="12292" width="8.6640625" style="2" bestFit="1" customWidth="1"/>
    <col min="12293" max="12293" width="9.44140625" style="2" bestFit="1" customWidth="1"/>
    <col min="12294" max="12294" width="11.44140625" style="2"/>
    <col min="12295" max="12295" width="8.6640625" style="2" bestFit="1" customWidth="1"/>
    <col min="12296" max="12296" width="13.33203125" style="2" customWidth="1"/>
    <col min="12297" max="12297" width="12.6640625" style="2" customWidth="1"/>
    <col min="12298" max="12298" width="17.6640625" style="2" customWidth="1"/>
    <col min="12299" max="12299" width="27.44140625" style="2" customWidth="1"/>
    <col min="12300" max="12300" width="26.33203125" style="2" customWidth="1"/>
    <col min="12301" max="12301" width="24.88671875" style="2" customWidth="1"/>
    <col min="12302" max="12302" width="19.44140625" style="2" customWidth="1"/>
    <col min="12303" max="12303" width="17.109375" style="2" customWidth="1"/>
    <col min="12304" max="12304" width="16.6640625" style="2" customWidth="1"/>
    <col min="12305" max="12541" width="11.44140625" style="2"/>
    <col min="12542" max="12542" width="5.109375" style="2" customWidth="1"/>
    <col min="12543" max="12543" width="8.44140625" style="2" customWidth="1"/>
    <col min="12544" max="12544" width="11.44140625" style="2"/>
    <col min="12545" max="12545" width="54" style="2" customWidth="1"/>
    <col min="12546" max="12546" width="12.6640625" style="2" customWidth="1"/>
    <col min="12547" max="12547" width="12.33203125" style="2" bestFit="1" customWidth="1"/>
    <col min="12548" max="12548" width="8.6640625" style="2" bestFit="1" customWidth="1"/>
    <col min="12549" max="12549" width="9.44140625" style="2" bestFit="1" customWidth="1"/>
    <col min="12550" max="12550" width="11.44140625" style="2"/>
    <col min="12551" max="12551" width="8.6640625" style="2" bestFit="1" customWidth="1"/>
    <col min="12552" max="12552" width="13.33203125" style="2" customWidth="1"/>
    <col min="12553" max="12553" width="12.6640625" style="2" customWidth="1"/>
    <col min="12554" max="12554" width="17.6640625" style="2" customWidth="1"/>
    <col min="12555" max="12555" width="27.44140625" style="2" customWidth="1"/>
    <col min="12556" max="12556" width="26.33203125" style="2" customWidth="1"/>
    <col min="12557" max="12557" width="24.88671875" style="2" customWidth="1"/>
    <col min="12558" max="12558" width="19.44140625" style="2" customWidth="1"/>
    <col min="12559" max="12559" width="17.109375" style="2" customWidth="1"/>
    <col min="12560" max="12560" width="16.6640625" style="2" customWidth="1"/>
    <col min="12561" max="12797" width="11.44140625" style="2"/>
    <col min="12798" max="12798" width="5.109375" style="2" customWidth="1"/>
    <col min="12799" max="12799" width="8.44140625" style="2" customWidth="1"/>
    <col min="12800" max="12800" width="11.44140625" style="2"/>
    <col min="12801" max="12801" width="54" style="2" customWidth="1"/>
    <col min="12802" max="12802" width="12.6640625" style="2" customWidth="1"/>
    <col min="12803" max="12803" width="12.33203125" style="2" bestFit="1" customWidth="1"/>
    <col min="12804" max="12804" width="8.6640625" style="2" bestFit="1" customWidth="1"/>
    <col min="12805" max="12805" width="9.44140625" style="2" bestFit="1" customWidth="1"/>
    <col min="12806" max="12806" width="11.44140625" style="2"/>
    <col min="12807" max="12807" width="8.6640625" style="2" bestFit="1" customWidth="1"/>
    <col min="12808" max="12808" width="13.33203125" style="2" customWidth="1"/>
    <col min="12809" max="12809" width="12.6640625" style="2" customWidth="1"/>
    <col min="12810" max="12810" width="17.6640625" style="2" customWidth="1"/>
    <col min="12811" max="12811" width="27.44140625" style="2" customWidth="1"/>
    <col min="12812" max="12812" width="26.33203125" style="2" customWidth="1"/>
    <col min="12813" max="12813" width="24.88671875" style="2" customWidth="1"/>
    <col min="12814" max="12814" width="19.44140625" style="2" customWidth="1"/>
    <col min="12815" max="12815" width="17.109375" style="2" customWidth="1"/>
    <col min="12816" max="12816" width="16.6640625" style="2" customWidth="1"/>
    <col min="12817" max="13053" width="11.44140625" style="2"/>
    <col min="13054" max="13054" width="5.109375" style="2" customWidth="1"/>
    <col min="13055" max="13055" width="8.44140625" style="2" customWidth="1"/>
    <col min="13056" max="13056" width="11.44140625" style="2"/>
    <col min="13057" max="13057" width="54" style="2" customWidth="1"/>
    <col min="13058" max="13058" width="12.6640625" style="2" customWidth="1"/>
    <col min="13059" max="13059" width="12.33203125" style="2" bestFit="1" customWidth="1"/>
    <col min="13060" max="13060" width="8.6640625" style="2" bestFit="1" customWidth="1"/>
    <col min="13061" max="13061" width="9.44140625" style="2" bestFit="1" customWidth="1"/>
    <col min="13062" max="13062" width="11.44140625" style="2"/>
    <col min="13063" max="13063" width="8.6640625" style="2" bestFit="1" customWidth="1"/>
    <col min="13064" max="13064" width="13.33203125" style="2" customWidth="1"/>
    <col min="13065" max="13065" width="12.6640625" style="2" customWidth="1"/>
    <col min="13066" max="13066" width="17.6640625" style="2" customWidth="1"/>
    <col min="13067" max="13067" width="27.44140625" style="2" customWidth="1"/>
    <col min="13068" max="13068" width="26.33203125" style="2" customWidth="1"/>
    <col min="13069" max="13069" width="24.88671875" style="2" customWidth="1"/>
    <col min="13070" max="13070" width="19.44140625" style="2" customWidth="1"/>
    <col min="13071" max="13071" width="17.109375" style="2" customWidth="1"/>
    <col min="13072" max="13072" width="16.6640625" style="2" customWidth="1"/>
    <col min="13073" max="13309" width="11.44140625" style="2"/>
    <col min="13310" max="13310" width="5.109375" style="2" customWidth="1"/>
    <col min="13311" max="13311" width="8.44140625" style="2" customWidth="1"/>
    <col min="13312" max="13312" width="11.44140625" style="2"/>
    <col min="13313" max="13313" width="54" style="2" customWidth="1"/>
    <col min="13314" max="13314" width="12.6640625" style="2" customWidth="1"/>
    <col min="13315" max="13315" width="12.33203125" style="2" bestFit="1" customWidth="1"/>
    <col min="13316" max="13316" width="8.6640625" style="2" bestFit="1" customWidth="1"/>
    <col min="13317" max="13317" width="9.44140625" style="2" bestFit="1" customWidth="1"/>
    <col min="13318" max="13318" width="11.44140625" style="2"/>
    <col min="13319" max="13319" width="8.6640625" style="2" bestFit="1" customWidth="1"/>
    <col min="13320" max="13320" width="13.33203125" style="2" customWidth="1"/>
    <col min="13321" max="13321" width="12.6640625" style="2" customWidth="1"/>
    <col min="13322" max="13322" width="17.6640625" style="2" customWidth="1"/>
    <col min="13323" max="13323" width="27.44140625" style="2" customWidth="1"/>
    <col min="13324" max="13324" width="26.33203125" style="2" customWidth="1"/>
    <col min="13325" max="13325" width="24.88671875" style="2" customWidth="1"/>
    <col min="13326" max="13326" width="19.44140625" style="2" customWidth="1"/>
    <col min="13327" max="13327" width="17.109375" style="2" customWidth="1"/>
    <col min="13328" max="13328" width="16.6640625" style="2" customWidth="1"/>
    <col min="13329" max="13565" width="11.44140625" style="2"/>
    <col min="13566" max="13566" width="5.109375" style="2" customWidth="1"/>
    <col min="13567" max="13567" width="8.44140625" style="2" customWidth="1"/>
    <col min="13568" max="13568" width="11.44140625" style="2"/>
    <col min="13569" max="13569" width="54" style="2" customWidth="1"/>
    <col min="13570" max="13570" width="12.6640625" style="2" customWidth="1"/>
    <col min="13571" max="13571" width="12.33203125" style="2" bestFit="1" customWidth="1"/>
    <col min="13572" max="13572" width="8.6640625" style="2" bestFit="1" customWidth="1"/>
    <col min="13573" max="13573" width="9.44140625" style="2" bestFit="1" customWidth="1"/>
    <col min="13574" max="13574" width="11.44140625" style="2"/>
    <col min="13575" max="13575" width="8.6640625" style="2" bestFit="1" customWidth="1"/>
    <col min="13576" max="13576" width="13.33203125" style="2" customWidth="1"/>
    <col min="13577" max="13577" width="12.6640625" style="2" customWidth="1"/>
    <col min="13578" max="13578" width="17.6640625" style="2" customWidth="1"/>
    <col min="13579" max="13579" width="27.44140625" style="2" customWidth="1"/>
    <col min="13580" max="13580" width="26.33203125" style="2" customWidth="1"/>
    <col min="13581" max="13581" width="24.88671875" style="2" customWidth="1"/>
    <col min="13582" max="13582" width="19.44140625" style="2" customWidth="1"/>
    <col min="13583" max="13583" width="17.109375" style="2" customWidth="1"/>
    <col min="13584" max="13584" width="16.6640625" style="2" customWidth="1"/>
    <col min="13585" max="13821" width="11.44140625" style="2"/>
    <col min="13822" max="13822" width="5.109375" style="2" customWidth="1"/>
    <col min="13823" max="13823" width="8.44140625" style="2" customWidth="1"/>
    <col min="13824" max="13824" width="11.44140625" style="2"/>
    <col min="13825" max="13825" width="54" style="2" customWidth="1"/>
    <col min="13826" max="13826" width="12.6640625" style="2" customWidth="1"/>
    <col min="13827" max="13827" width="12.33203125" style="2" bestFit="1" customWidth="1"/>
    <col min="13828" max="13828" width="8.6640625" style="2" bestFit="1" customWidth="1"/>
    <col min="13829" max="13829" width="9.44140625" style="2" bestFit="1" customWidth="1"/>
    <col min="13830" max="13830" width="11.44140625" style="2"/>
    <col min="13831" max="13831" width="8.6640625" style="2" bestFit="1" customWidth="1"/>
    <col min="13832" max="13832" width="13.33203125" style="2" customWidth="1"/>
    <col min="13833" max="13833" width="12.6640625" style="2" customWidth="1"/>
    <col min="13834" max="13834" width="17.6640625" style="2" customWidth="1"/>
    <col min="13835" max="13835" width="27.44140625" style="2" customWidth="1"/>
    <col min="13836" max="13836" width="26.33203125" style="2" customWidth="1"/>
    <col min="13837" max="13837" width="24.88671875" style="2" customWidth="1"/>
    <col min="13838" max="13838" width="19.44140625" style="2" customWidth="1"/>
    <col min="13839" max="13839" width="17.109375" style="2" customWidth="1"/>
    <col min="13840" max="13840" width="16.6640625" style="2" customWidth="1"/>
    <col min="13841" max="14077" width="11.44140625" style="2"/>
    <col min="14078" max="14078" width="5.109375" style="2" customWidth="1"/>
    <col min="14079" max="14079" width="8.44140625" style="2" customWidth="1"/>
    <col min="14080" max="14080" width="11.44140625" style="2"/>
    <col min="14081" max="14081" width="54" style="2" customWidth="1"/>
    <col min="14082" max="14082" width="12.6640625" style="2" customWidth="1"/>
    <col min="14083" max="14083" width="12.33203125" style="2" bestFit="1" customWidth="1"/>
    <col min="14084" max="14084" width="8.6640625" style="2" bestFit="1" customWidth="1"/>
    <col min="14085" max="14085" width="9.44140625" style="2" bestFit="1" customWidth="1"/>
    <col min="14086" max="14086" width="11.44140625" style="2"/>
    <col min="14087" max="14087" width="8.6640625" style="2" bestFit="1" customWidth="1"/>
    <col min="14088" max="14088" width="13.33203125" style="2" customWidth="1"/>
    <col min="14089" max="14089" width="12.6640625" style="2" customWidth="1"/>
    <col min="14090" max="14090" width="17.6640625" style="2" customWidth="1"/>
    <col min="14091" max="14091" width="27.44140625" style="2" customWidth="1"/>
    <col min="14092" max="14092" width="26.33203125" style="2" customWidth="1"/>
    <col min="14093" max="14093" width="24.88671875" style="2" customWidth="1"/>
    <col min="14094" max="14094" width="19.44140625" style="2" customWidth="1"/>
    <col min="14095" max="14095" width="17.109375" style="2" customWidth="1"/>
    <col min="14096" max="14096" width="16.6640625" style="2" customWidth="1"/>
    <col min="14097" max="14333" width="11.44140625" style="2"/>
    <col min="14334" max="14334" width="5.109375" style="2" customWidth="1"/>
    <col min="14335" max="14335" width="8.44140625" style="2" customWidth="1"/>
    <col min="14336" max="14336" width="11.44140625" style="2"/>
    <col min="14337" max="14337" width="54" style="2" customWidth="1"/>
    <col min="14338" max="14338" width="12.6640625" style="2" customWidth="1"/>
    <col min="14339" max="14339" width="12.33203125" style="2" bestFit="1" customWidth="1"/>
    <col min="14340" max="14340" width="8.6640625" style="2" bestFit="1" customWidth="1"/>
    <col min="14341" max="14341" width="9.44140625" style="2" bestFit="1" customWidth="1"/>
    <col min="14342" max="14342" width="11.44140625" style="2"/>
    <col min="14343" max="14343" width="8.6640625" style="2" bestFit="1" customWidth="1"/>
    <col min="14344" max="14344" width="13.33203125" style="2" customWidth="1"/>
    <col min="14345" max="14345" width="12.6640625" style="2" customWidth="1"/>
    <col min="14346" max="14346" width="17.6640625" style="2" customWidth="1"/>
    <col min="14347" max="14347" width="27.44140625" style="2" customWidth="1"/>
    <col min="14348" max="14348" width="26.33203125" style="2" customWidth="1"/>
    <col min="14349" max="14349" width="24.88671875" style="2" customWidth="1"/>
    <col min="14350" max="14350" width="19.44140625" style="2" customWidth="1"/>
    <col min="14351" max="14351" width="17.109375" style="2" customWidth="1"/>
    <col min="14352" max="14352" width="16.6640625" style="2" customWidth="1"/>
    <col min="14353" max="14589" width="11.44140625" style="2"/>
    <col min="14590" max="14590" width="5.109375" style="2" customWidth="1"/>
    <col min="14591" max="14591" width="8.44140625" style="2" customWidth="1"/>
    <col min="14592" max="14592" width="11.44140625" style="2"/>
    <col min="14593" max="14593" width="54" style="2" customWidth="1"/>
    <col min="14594" max="14594" width="12.6640625" style="2" customWidth="1"/>
    <col min="14595" max="14595" width="12.33203125" style="2" bestFit="1" customWidth="1"/>
    <col min="14596" max="14596" width="8.6640625" style="2" bestFit="1" customWidth="1"/>
    <col min="14597" max="14597" width="9.44140625" style="2" bestFit="1" customWidth="1"/>
    <col min="14598" max="14598" width="11.44140625" style="2"/>
    <col min="14599" max="14599" width="8.6640625" style="2" bestFit="1" customWidth="1"/>
    <col min="14600" max="14600" width="13.33203125" style="2" customWidth="1"/>
    <col min="14601" max="14601" width="12.6640625" style="2" customWidth="1"/>
    <col min="14602" max="14602" width="17.6640625" style="2" customWidth="1"/>
    <col min="14603" max="14603" width="27.44140625" style="2" customWidth="1"/>
    <col min="14604" max="14604" width="26.33203125" style="2" customWidth="1"/>
    <col min="14605" max="14605" width="24.88671875" style="2" customWidth="1"/>
    <col min="14606" max="14606" width="19.44140625" style="2" customWidth="1"/>
    <col min="14607" max="14607" width="17.109375" style="2" customWidth="1"/>
    <col min="14608" max="14608" width="16.6640625" style="2" customWidth="1"/>
    <col min="14609" max="14845" width="11.44140625" style="2"/>
    <col min="14846" max="14846" width="5.109375" style="2" customWidth="1"/>
    <col min="14847" max="14847" width="8.44140625" style="2" customWidth="1"/>
    <col min="14848" max="14848" width="11.44140625" style="2"/>
    <col min="14849" max="14849" width="54" style="2" customWidth="1"/>
    <col min="14850" max="14850" width="12.6640625" style="2" customWidth="1"/>
    <col min="14851" max="14851" width="12.33203125" style="2" bestFit="1" customWidth="1"/>
    <col min="14852" max="14852" width="8.6640625" style="2" bestFit="1" customWidth="1"/>
    <col min="14853" max="14853" width="9.44140625" style="2" bestFit="1" customWidth="1"/>
    <col min="14854" max="14854" width="11.44140625" style="2"/>
    <col min="14855" max="14855" width="8.6640625" style="2" bestFit="1" customWidth="1"/>
    <col min="14856" max="14856" width="13.33203125" style="2" customWidth="1"/>
    <col min="14857" max="14857" width="12.6640625" style="2" customWidth="1"/>
    <col min="14858" max="14858" width="17.6640625" style="2" customWidth="1"/>
    <col min="14859" max="14859" width="27.44140625" style="2" customWidth="1"/>
    <col min="14860" max="14860" width="26.33203125" style="2" customWidth="1"/>
    <col min="14861" max="14861" width="24.88671875" style="2" customWidth="1"/>
    <col min="14862" max="14862" width="19.44140625" style="2" customWidth="1"/>
    <col min="14863" max="14863" width="17.109375" style="2" customWidth="1"/>
    <col min="14864" max="14864" width="16.6640625" style="2" customWidth="1"/>
    <col min="14865" max="15101" width="11.44140625" style="2"/>
    <col min="15102" max="15102" width="5.109375" style="2" customWidth="1"/>
    <col min="15103" max="15103" width="8.44140625" style="2" customWidth="1"/>
    <col min="15104" max="15104" width="11.44140625" style="2"/>
    <col min="15105" max="15105" width="54" style="2" customWidth="1"/>
    <col min="15106" max="15106" width="12.6640625" style="2" customWidth="1"/>
    <col min="15107" max="15107" width="12.33203125" style="2" bestFit="1" customWidth="1"/>
    <col min="15108" max="15108" width="8.6640625" style="2" bestFit="1" customWidth="1"/>
    <col min="15109" max="15109" width="9.44140625" style="2" bestFit="1" customWidth="1"/>
    <col min="15110" max="15110" width="11.44140625" style="2"/>
    <col min="15111" max="15111" width="8.6640625" style="2" bestFit="1" customWidth="1"/>
    <col min="15112" max="15112" width="13.33203125" style="2" customWidth="1"/>
    <col min="15113" max="15113" width="12.6640625" style="2" customWidth="1"/>
    <col min="15114" max="15114" width="17.6640625" style="2" customWidth="1"/>
    <col min="15115" max="15115" width="27.44140625" style="2" customWidth="1"/>
    <col min="15116" max="15116" width="26.33203125" style="2" customWidth="1"/>
    <col min="15117" max="15117" width="24.88671875" style="2" customWidth="1"/>
    <col min="15118" max="15118" width="19.44140625" style="2" customWidth="1"/>
    <col min="15119" max="15119" width="17.109375" style="2" customWidth="1"/>
    <col min="15120" max="15120" width="16.6640625" style="2" customWidth="1"/>
    <col min="15121" max="15357" width="11.44140625" style="2"/>
    <col min="15358" max="15358" width="5.109375" style="2" customWidth="1"/>
    <col min="15359" max="15359" width="8.44140625" style="2" customWidth="1"/>
    <col min="15360" max="15360" width="11.44140625" style="2"/>
    <col min="15361" max="15361" width="54" style="2" customWidth="1"/>
    <col min="15362" max="15362" width="12.6640625" style="2" customWidth="1"/>
    <col min="15363" max="15363" width="12.33203125" style="2" bestFit="1" customWidth="1"/>
    <col min="15364" max="15364" width="8.6640625" style="2" bestFit="1" customWidth="1"/>
    <col min="15365" max="15365" width="9.44140625" style="2" bestFit="1" customWidth="1"/>
    <col min="15366" max="15366" width="11.44140625" style="2"/>
    <col min="15367" max="15367" width="8.6640625" style="2" bestFit="1" customWidth="1"/>
    <col min="15368" max="15368" width="13.33203125" style="2" customWidth="1"/>
    <col min="15369" max="15369" width="12.6640625" style="2" customWidth="1"/>
    <col min="15370" max="15370" width="17.6640625" style="2" customWidth="1"/>
    <col min="15371" max="15371" width="27.44140625" style="2" customWidth="1"/>
    <col min="15372" max="15372" width="26.33203125" style="2" customWidth="1"/>
    <col min="15373" max="15373" width="24.88671875" style="2" customWidth="1"/>
    <col min="15374" max="15374" width="19.44140625" style="2" customWidth="1"/>
    <col min="15375" max="15375" width="17.109375" style="2" customWidth="1"/>
    <col min="15376" max="15376" width="16.6640625" style="2" customWidth="1"/>
    <col min="15377" max="15613" width="11.44140625" style="2"/>
    <col min="15614" max="15614" width="5.109375" style="2" customWidth="1"/>
    <col min="15615" max="15615" width="8.44140625" style="2" customWidth="1"/>
    <col min="15616" max="15616" width="11.44140625" style="2"/>
    <col min="15617" max="15617" width="54" style="2" customWidth="1"/>
    <col min="15618" max="15618" width="12.6640625" style="2" customWidth="1"/>
    <col min="15619" max="15619" width="12.33203125" style="2" bestFit="1" customWidth="1"/>
    <col min="15620" max="15620" width="8.6640625" style="2" bestFit="1" customWidth="1"/>
    <col min="15621" max="15621" width="9.44140625" style="2" bestFit="1" customWidth="1"/>
    <col min="15622" max="15622" width="11.44140625" style="2"/>
    <col min="15623" max="15623" width="8.6640625" style="2" bestFit="1" customWidth="1"/>
    <col min="15624" max="15624" width="13.33203125" style="2" customWidth="1"/>
    <col min="15625" max="15625" width="12.6640625" style="2" customWidth="1"/>
    <col min="15626" max="15626" width="17.6640625" style="2" customWidth="1"/>
    <col min="15627" max="15627" width="27.44140625" style="2" customWidth="1"/>
    <col min="15628" max="15628" width="26.33203125" style="2" customWidth="1"/>
    <col min="15629" max="15629" width="24.88671875" style="2" customWidth="1"/>
    <col min="15630" max="15630" width="19.44140625" style="2" customWidth="1"/>
    <col min="15631" max="15631" width="17.109375" style="2" customWidth="1"/>
    <col min="15632" max="15632" width="16.6640625" style="2" customWidth="1"/>
    <col min="15633" max="15869" width="11.44140625" style="2"/>
    <col min="15870" max="15870" width="5.109375" style="2" customWidth="1"/>
    <col min="15871" max="15871" width="8.44140625" style="2" customWidth="1"/>
    <col min="15872" max="15872" width="11.44140625" style="2"/>
    <col min="15873" max="15873" width="54" style="2" customWidth="1"/>
    <col min="15874" max="15874" width="12.6640625" style="2" customWidth="1"/>
    <col min="15875" max="15875" width="12.33203125" style="2" bestFit="1" customWidth="1"/>
    <col min="15876" max="15876" width="8.6640625" style="2" bestFit="1" customWidth="1"/>
    <col min="15877" max="15877" width="9.44140625" style="2" bestFit="1" customWidth="1"/>
    <col min="15878" max="15878" width="11.44140625" style="2"/>
    <col min="15879" max="15879" width="8.6640625" style="2" bestFit="1" customWidth="1"/>
    <col min="15880" max="15880" width="13.33203125" style="2" customWidth="1"/>
    <col min="15881" max="15881" width="12.6640625" style="2" customWidth="1"/>
    <col min="15882" max="15882" width="17.6640625" style="2" customWidth="1"/>
    <col min="15883" max="15883" width="27.44140625" style="2" customWidth="1"/>
    <col min="15884" max="15884" width="26.33203125" style="2" customWidth="1"/>
    <col min="15885" max="15885" width="24.88671875" style="2" customWidth="1"/>
    <col min="15886" max="15886" width="19.44140625" style="2" customWidth="1"/>
    <col min="15887" max="15887" width="17.109375" style="2" customWidth="1"/>
    <col min="15888" max="15888" width="16.6640625" style="2" customWidth="1"/>
    <col min="15889" max="16125" width="11.44140625" style="2"/>
    <col min="16126" max="16126" width="5.109375" style="2" customWidth="1"/>
    <col min="16127" max="16127" width="8.44140625" style="2" customWidth="1"/>
    <col min="16128" max="16128" width="11.44140625" style="2"/>
    <col min="16129" max="16129" width="54" style="2" customWidth="1"/>
    <col min="16130" max="16130" width="12.6640625" style="2" customWidth="1"/>
    <col min="16131" max="16131" width="12.33203125" style="2" bestFit="1" customWidth="1"/>
    <col min="16132" max="16132" width="8.6640625" style="2" bestFit="1" customWidth="1"/>
    <col min="16133" max="16133" width="9.44140625" style="2" bestFit="1" customWidth="1"/>
    <col min="16134" max="16134" width="11.44140625" style="2"/>
    <col min="16135" max="16135" width="8.6640625" style="2" bestFit="1" customWidth="1"/>
    <col min="16136" max="16136" width="13.33203125" style="2" customWidth="1"/>
    <col min="16137" max="16137" width="12.6640625" style="2" customWidth="1"/>
    <col min="16138" max="16138" width="17.6640625" style="2" customWidth="1"/>
    <col min="16139" max="16139" width="27.44140625" style="2" customWidth="1"/>
    <col min="16140" max="16140" width="26.33203125" style="2" customWidth="1"/>
    <col min="16141" max="16141" width="24.88671875" style="2" customWidth="1"/>
    <col min="16142" max="16142" width="19.44140625" style="2" customWidth="1"/>
    <col min="16143" max="16143" width="17.109375" style="2" customWidth="1"/>
    <col min="16144" max="16144" width="16.6640625" style="2" customWidth="1"/>
    <col min="16145" max="16384" width="11.44140625" style="2"/>
  </cols>
  <sheetData>
    <row r="2" spans="2:17" ht="31.5" customHeight="1" x14ac:dyDescent="0.3">
      <c r="B2" s="498" t="s">
        <v>92</v>
      </c>
      <c r="C2" s="499"/>
      <c r="D2" s="499"/>
      <c r="E2" s="499"/>
      <c r="F2" s="499"/>
      <c r="G2" s="499"/>
      <c r="H2" s="499"/>
      <c r="I2" s="499"/>
      <c r="J2" s="500"/>
      <c r="Q2" s="2"/>
    </row>
    <row r="3" spans="2:17" ht="15.6" x14ac:dyDescent="0.3">
      <c r="B3" s="64"/>
      <c r="C3" s="65"/>
      <c r="D3" s="65"/>
      <c r="E3" s="66"/>
      <c r="F3" s="65"/>
      <c r="G3" s="65"/>
      <c r="J3" s="142"/>
      <c r="Q3" s="2"/>
    </row>
    <row r="4" spans="2:17" ht="15.75" customHeight="1" x14ac:dyDescent="0.3">
      <c r="B4" s="501" t="s">
        <v>435</v>
      </c>
      <c r="C4" s="502"/>
      <c r="D4" s="502"/>
      <c r="E4" s="502"/>
      <c r="F4" s="502"/>
      <c r="G4" s="502"/>
      <c r="H4" s="502"/>
      <c r="I4" s="502"/>
      <c r="J4" s="503"/>
      <c r="Q4" s="2"/>
    </row>
    <row r="5" spans="2:17" ht="13.8" x14ac:dyDescent="0.3">
      <c r="B5" s="68"/>
      <c r="C5" s="69"/>
      <c r="D5" s="70"/>
      <c r="E5" s="27"/>
      <c r="F5" s="71"/>
      <c r="G5" s="71"/>
      <c r="J5" s="142"/>
      <c r="Q5" s="2"/>
    </row>
    <row r="6" spans="2:17" ht="15.75" customHeight="1" x14ac:dyDescent="0.3">
      <c r="B6" s="501" t="s">
        <v>191</v>
      </c>
      <c r="C6" s="502"/>
      <c r="D6" s="502"/>
      <c r="E6" s="502"/>
      <c r="F6" s="502"/>
      <c r="G6" s="502"/>
      <c r="H6" s="502"/>
      <c r="I6" s="502"/>
      <c r="J6" s="503"/>
      <c r="Q6" s="2"/>
    </row>
    <row r="7" spans="2:17" x14ac:dyDescent="0.3">
      <c r="B7" s="73"/>
      <c r="C7" s="74"/>
      <c r="D7" s="74"/>
      <c r="E7" s="75"/>
      <c r="F7" s="143"/>
      <c r="G7" s="143"/>
      <c r="H7" s="76" t="s">
        <v>157</v>
      </c>
      <c r="I7" s="545">
        <v>45146</v>
      </c>
      <c r="J7" s="546"/>
      <c r="Q7" s="2"/>
    </row>
    <row r="8" spans="2:17" ht="6" customHeight="1" x14ac:dyDescent="0.3"/>
    <row r="9" spans="2:17" ht="27.75" customHeight="1" x14ac:dyDescent="0.3">
      <c r="B9" s="549" t="s">
        <v>114</v>
      </c>
      <c r="C9" s="551" t="s">
        <v>437</v>
      </c>
      <c r="D9" s="552"/>
      <c r="E9" s="552"/>
      <c r="F9" s="553"/>
      <c r="G9" s="557" t="s">
        <v>115</v>
      </c>
      <c r="H9" s="558"/>
      <c r="I9" s="558"/>
      <c r="J9" s="559"/>
    </row>
    <row r="10" spans="2:17" ht="29.25" customHeight="1" x14ac:dyDescent="0.3">
      <c r="B10" s="550"/>
      <c r="C10" s="554"/>
      <c r="D10" s="555"/>
      <c r="E10" s="555"/>
      <c r="F10" s="556"/>
      <c r="G10" s="560"/>
      <c r="H10" s="561"/>
      <c r="I10" s="561"/>
      <c r="J10" s="562"/>
    </row>
    <row r="11" spans="2:17" ht="15" customHeight="1" x14ac:dyDescent="0.3">
      <c r="B11" s="563" t="s">
        <v>116</v>
      </c>
      <c r="C11" s="564"/>
      <c r="D11" s="565" t="s">
        <v>434</v>
      </c>
      <c r="E11" s="565"/>
      <c r="F11" s="566"/>
      <c r="G11" s="569" t="s">
        <v>92</v>
      </c>
      <c r="H11" s="570"/>
      <c r="I11" s="570"/>
      <c r="J11" s="571"/>
    </row>
    <row r="12" spans="2:17" x14ac:dyDescent="0.3">
      <c r="B12" s="144"/>
      <c r="C12" s="143"/>
      <c r="D12" s="567"/>
      <c r="E12" s="567"/>
      <c r="F12" s="568"/>
      <c r="G12" s="572"/>
      <c r="H12" s="573"/>
      <c r="I12" s="573"/>
      <c r="J12" s="574"/>
    </row>
    <row r="14" spans="2:17" ht="15.6" x14ac:dyDescent="0.3">
      <c r="B14" s="502" t="s">
        <v>193</v>
      </c>
      <c r="C14" s="502"/>
      <c r="D14" s="502"/>
      <c r="E14" s="502"/>
      <c r="F14" s="502"/>
      <c r="G14" s="502"/>
      <c r="H14" s="502"/>
      <c r="I14" s="502"/>
      <c r="J14" s="502"/>
    </row>
    <row r="15" spans="2:17" ht="8.25" customHeight="1" x14ac:dyDescent="0.3"/>
    <row r="16" spans="2:17" ht="15" customHeight="1" x14ac:dyDescent="0.3">
      <c r="B16" s="145" t="s">
        <v>117</v>
      </c>
      <c r="C16" s="578" t="s">
        <v>118</v>
      </c>
      <c r="D16" s="579"/>
      <c r="E16" s="579"/>
      <c r="F16" s="579"/>
      <c r="G16" s="579"/>
      <c r="H16" s="580"/>
      <c r="I16" s="146" t="s">
        <v>119</v>
      </c>
      <c r="J16" s="146" t="s">
        <v>99</v>
      </c>
      <c r="M16" s="1"/>
      <c r="Q16" s="2"/>
    </row>
    <row r="17" spans="2:26" ht="15" customHeight="1" x14ac:dyDescent="0.3">
      <c r="B17" s="40" t="str">
        <f>+'Item de Pago'!B10</f>
        <v>1</v>
      </c>
      <c r="C17" s="575" t="str">
        <f>IF($B17=0,"",VLOOKUP($B17,'Item de Pago'!B1:F36,2,FALSE))</f>
        <v>CONSTRUCCIÓN DE PLACAS HUELLAS</v>
      </c>
      <c r="D17" s="576"/>
      <c r="E17" s="576"/>
      <c r="F17" s="576"/>
      <c r="G17" s="576"/>
      <c r="H17" s="576"/>
      <c r="I17" s="576"/>
      <c r="J17" s="577"/>
      <c r="M17" s="1"/>
      <c r="Q17" s="2"/>
    </row>
    <row r="18" spans="2:26" x14ac:dyDescent="0.3">
      <c r="B18" s="124">
        <v>1.1000000000000001</v>
      </c>
      <c r="C18" s="581" t="str">
        <f>IF($B18=0,"",VLOOKUP($B18,'Item de Pago'!B2:F37,2,FALSE))</f>
        <v>LOCALIZACIÓN Y REPLANTEO</v>
      </c>
      <c r="D18" s="582"/>
      <c r="E18" s="582"/>
      <c r="F18" s="582"/>
      <c r="G18" s="582"/>
      <c r="H18" s="583"/>
      <c r="I18" s="39" t="str">
        <f>IF($B18=0,"",VLOOKUP($B18,'Item de Pago'!B2:F37,4,FALSE))</f>
        <v>M2</v>
      </c>
      <c r="J18" s="147">
        <f>+J47</f>
        <v>183</v>
      </c>
      <c r="L18" s="89">
        <v>1107</v>
      </c>
      <c r="M18" s="1"/>
      <c r="Q18" s="2"/>
    </row>
    <row r="19" spans="2:26" ht="15" customHeight="1" x14ac:dyDescent="0.3">
      <c r="B19" s="124">
        <v>1.2</v>
      </c>
      <c r="C19" s="581" t="str">
        <f>IF($B19=0,"",VLOOKUP($B19,'Item de Pago'!B3:F38,2,FALSE))</f>
        <v>EXCAVACIÓN MANUAL PARA ESTRUCTURAS - MATERIAL COMÚN - 0.0 A 2.0 M</v>
      </c>
      <c r="D19" s="582"/>
      <c r="E19" s="582"/>
      <c r="F19" s="582"/>
      <c r="G19" s="582"/>
      <c r="H19" s="583"/>
      <c r="I19" s="39" t="str">
        <f>IF($B19=0,"",VLOOKUP($B19,'Item de Pago'!B3:F38,4,FALSE))</f>
        <v>M3</v>
      </c>
      <c r="J19" s="147">
        <f>+J59</f>
        <v>313</v>
      </c>
      <c r="L19" s="89">
        <v>1951</v>
      </c>
      <c r="M19" s="1"/>
      <c r="Q19" s="2"/>
    </row>
    <row r="20" spans="2:26" ht="15" customHeight="1" x14ac:dyDescent="0.3">
      <c r="B20" s="124">
        <v>1.3</v>
      </c>
      <c r="C20" s="581" t="str">
        <f>IF($B20=0,"",VLOOKUP($B20,'Item de Pago'!B4:F39,2,FALSE))</f>
        <v>RETIRO DE MATERIAL SOBRANTE EN VOLQUETA, CARGUE MANUAL</v>
      </c>
      <c r="D20" s="582"/>
      <c r="E20" s="582"/>
      <c r="F20" s="582"/>
      <c r="G20" s="582"/>
      <c r="H20" s="583"/>
      <c r="I20" s="39" t="str">
        <f>IF($B20=0,"",VLOOKUP($B20,'Item de Pago'!B4:F39,4,FALSE))</f>
        <v>M3</v>
      </c>
      <c r="J20" s="147">
        <f>+J71</f>
        <v>313</v>
      </c>
      <c r="L20" s="89">
        <v>1951</v>
      </c>
      <c r="M20" s="1"/>
      <c r="Q20" s="2"/>
    </row>
    <row r="21" spans="2:26" x14ac:dyDescent="0.3">
      <c r="B21" s="124">
        <v>1.4</v>
      </c>
      <c r="C21" s="581" t="str">
        <f>IF($B21=0,"",VLOOKUP($B21,'Item de Pago'!B5:F40,2,FALSE))</f>
        <v>CONFORMACIÓN DE LA SUBRASANTE</v>
      </c>
      <c r="D21" s="582"/>
      <c r="E21" s="582"/>
      <c r="F21" s="582"/>
      <c r="G21" s="582"/>
      <c r="H21" s="583"/>
      <c r="I21" s="39" t="str">
        <f>IF($B21=0,"",VLOOKUP($B21,'Item de Pago'!B5:F40,4,FALSE))</f>
        <v>M2</v>
      </c>
      <c r="J21" s="147">
        <f>+J83</f>
        <v>897</v>
      </c>
      <c r="L21" s="89">
        <v>5757</v>
      </c>
      <c r="M21" s="1"/>
      <c r="Q21" s="2"/>
    </row>
    <row r="22" spans="2:26" x14ac:dyDescent="0.3">
      <c r="B22" s="124">
        <v>1.5</v>
      </c>
      <c r="C22" s="581" t="str">
        <f>IF($B22=0,"",VLOOKUP($B22,'Item de Pago'!B6:F41,2,FALSE))</f>
        <v>AFIRMADO COMPACTADO PARA ESTRUCTURAS</v>
      </c>
      <c r="D22" s="582"/>
      <c r="E22" s="582"/>
      <c r="F22" s="582"/>
      <c r="G22" s="582"/>
      <c r="H22" s="583"/>
      <c r="I22" s="39" t="str">
        <f>IF($B22=0,"",VLOOKUP($B22,'Item de Pago'!B6:F41,4,FALSE))</f>
        <v>M3</v>
      </c>
      <c r="J22" s="147">
        <f>+J95</f>
        <v>179</v>
      </c>
      <c r="L22" s="89">
        <v>1151</v>
      </c>
      <c r="M22" s="1"/>
      <c r="Q22" s="2"/>
    </row>
    <row r="23" spans="2:26" ht="25.5" customHeight="1" x14ac:dyDescent="0.3">
      <c r="B23" s="124">
        <v>1.6</v>
      </c>
      <c r="C23" s="581" t="str">
        <f>IF($B23=0,"",VLOOKUP($B23,'Item de Pago'!B7:F42,2,FALSE))</f>
        <v>CONCRETO DE 210 KG/CM² (3.000 PSI), ESPESOR 0,15 M - PLACAS HUELLAS Y VIGAS RIOSTRAS</v>
      </c>
      <c r="D23" s="582"/>
      <c r="E23" s="582"/>
      <c r="F23" s="582"/>
      <c r="G23" s="582"/>
      <c r="H23" s="583"/>
      <c r="I23" s="39" t="str">
        <f>IF($B23=0,"",VLOOKUP($B23,'Item de Pago'!B7:F42,4,FALSE))</f>
        <v>M3</v>
      </c>
      <c r="J23" s="147">
        <f>+J104</f>
        <v>60</v>
      </c>
      <c r="L23" s="89">
        <v>417</v>
      </c>
      <c r="M23" s="1"/>
      <c r="Q23" s="2"/>
    </row>
    <row r="24" spans="2:26" ht="27" customHeight="1" x14ac:dyDescent="0.3">
      <c r="B24" s="124">
        <v>1.7</v>
      </c>
      <c r="C24" s="581" t="str">
        <f>IF($B24=0,"",VLOOKUP($B24,'Item de Pago'!B8:F43,2,FALSE))</f>
        <v>CONCRETO CICLÓPEO ESPESOR 0,15 M (60% CONCRETO 3000 PSI Y 40% PIEDRA DE MANO)</v>
      </c>
      <c r="D24" s="582"/>
      <c r="E24" s="582"/>
      <c r="F24" s="582"/>
      <c r="G24" s="582"/>
      <c r="H24" s="583"/>
      <c r="I24" s="39" t="str">
        <f>IF($B24=0,"",VLOOKUP($B24,'Item de Pago'!B8:F43,4,FALSE))</f>
        <v>M3</v>
      </c>
      <c r="J24" s="147">
        <f>+J112</f>
        <v>23</v>
      </c>
      <c r="L24" s="89">
        <v>165</v>
      </c>
      <c r="M24" s="1"/>
      <c r="Q24" s="2"/>
    </row>
    <row r="25" spans="2:26" ht="27" customHeight="1" x14ac:dyDescent="0.3">
      <c r="B25" s="124">
        <v>1.8</v>
      </c>
      <c r="C25" s="581" t="str">
        <f>IF($B25=0,"",VLOOKUP($B25,'Item de Pago'!B9:F44,2,FALSE))</f>
        <v>ACERO DE REFUERZO 4.200 KG/CM²  (60.000 PSI) PARA PLACAS Y RIOSTRAS. (INCLUYE ALAMBRE NEGRO Y FIGURACION)</v>
      </c>
      <c r="D25" s="582"/>
      <c r="E25" s="582"/>
      <c r="F25" s="582"/>
      <c r="G25" s="582"/>
      <c r="H25" s="583"/>
      <c r="I25" s="39" t="str">
        <f>IF($B25=0,"",VLOOKUP($B25,'Item de Pago'!B9:F44,4,FALSE))</f>
        <v>KG</v>
      </c>
      <c r="J25" s="147">
        <f>+J129</f>
        <v>4535.29</v>
      </c>
      <c r="L25" s="89">
        <v>34046.28</v>
      </c>
      <c r="M25" s="1"/>
      <c r="Q25" s="2"/>
    </row>
    <row r="26" spans="2:26" ht="27" customHeight="1" x14ac:dyDescent="0.3">
      <c r="B26" s="124">
        <v>1.9</v>
      </c>
      <c r="C26" s="581" t="str">
        <f>IF($B26=0,"",VLOOKUP($B26,'Item de Pago'!B10:F45,2,FALSE))</f>
        <v>CUNETA Y BORDILLO PARA VÍA VEHICULAR CONCRETO CLASE II PRODUCIDO EN OBRA</v>
      </c>
      <c r="D26" s="582"/>
      <c r="E26" s="582"/>
      <c r="F26" s="582"/>
      <c r="G26" s="582"/>
      <c r="H26" s="583"/>
      <c r="I26" s="39" t="str">
        <f>IF($B26=0,"",VLOOKUP($B26,'Item de Pago'!B10:F45,4,FALSE))</f>
        <v>M3</v>
      </c>
      <c r="J26" s="147">
        <f>+J138</f>
        <v>47</v>
      </c>
      <c r="L26" s="89">
        <v>315</v>
      </c>
      <c r="M26" s="1"/>
      <c r="Q26" s="2"/>
    </row>
    <row r="27" spans="2:26" ht="27" customHeight="1" x14ac:dyDescent="0.3">
      <c r="B27" s="162">
        <v>1.1000000000000001</v>
      </c>
      <c r="C27" s="581" t="str">
        <f>+'Item de Pago'!C20</f>
        <v>SARDINEL ANCHO = 20 CM H =  ENTRE  17 Y 24 CM  EN CONCRETO 3000 PSI</v>
      </c>
      <c r="D27" s="582"/>
      <c r="E27" s="582"/>
      <c r="F27" s="582"/>
      <c r="G27" s="582"/>
      <c r="H27" s="583"/>
      <c r="I27" s="39" t="str">
        <f>IF($B27=0,"",VLOOKUP($B27,'Item de Pago'!B11:F46,4,FALSE))</f>
        <v>M2</v>
      </c>
      <c r="J27" s="147">
        <f>+J146</f>
        <v>0</v>
      </c>
      <c r="L27" s="89">
        <v>25</v>
      </c>
      <c r="M27" s="1"/>
      <c r="Q27" s="2"/>
    </row>
    <row r="28" spans="2:26" ht="13.8" x14ac:dyDescent="0.3">
      <c r="D28" s="2"/>
      <c r="E28" s="2"/>
      <c r="F28" s="2"/>
      <c r="Q28" s="2"/>
    </row>
    <row r="29" spans="2:26" x14ac:dyDescent="0.3">
      <c r="B29" s="159"/>
      <c r="C29" s="140"/>
      <c r="D29" s="140"/>
      <c r="E29" s="140"/>
      <c r="F29" s="140"/>
      <c r="G29" s="140"/>
      <c r="H29" s="140"/>
      <c r="I29" s="141"/>
      <c r="J29" s="160"/>
      <c r="M29" s="1"/>
      <c r="Q29" s="2"/>
    </row>
    <row r="30" spans="2:26" ht="15.6" x14ac:dyDescent="0.3">
      <c r="B30" s="502" t="s">
        <v>194</v>
      </c>
      <c r="C30" s="502"/>
      <c r="D30" s="502"/>
      <c r="E30" s="502"/>
      <c r="F30" s="502"/>
      <c r="G30" s="502"/>
      <c r="H30" s="502"/>
      <c r="I30" s="502"/>
      <c r="J30" s="502"/>
      <c r="M30" s="1"/>
      <c r="Q30" s="2"/>
    </row>
    <row r="31" spans="2:26" x14ac:dyDescent="0.3">
      <c r="B31" s="159"/>
      <c r="C31" s="140"/>
      <c r="D31" s="140"/>
      <c r="E31" s="140"/>
      <c r="F31" s="140"/>
      <c r="G31" s="140"/>
      <c r="H31" s="140"/>
      <c r="I31" s="141"/>
      <c r="J31" s="160"/>
      <c r="M31" s="1"/>
      <c r="Q31" s="2"/>
    </row>
    <row r="32" spans="2:26" ht="27.75" customHeight="1" x14ac:dyDescent="0.3">
      <c r="B32" s="173" t="s">
        <v>196</v>
      </c>
      <c r="C32" s="173" t="s">
        <v>1</v>
      </c>
      <c r="D32" s="173" t="s">
        <v>197</v>
      </c>
      <c r="E32" s="173" t="s">
        <v>198</v>
      </c>
      <c r="F32" s="599" t="s">
        <v>438</v>
      </c>
      <c r="G32" s="599"/>
      <c r="H32" s="599" t="s">
        <v>439</v>
      </c>
      <c r="I32" s="599"/>
      <c r="J32" s="173" t="s">
        <v>201</v>
      </c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61"/>
      <c r="Y32" s="161"/>
      <c r="Z32" s="161"/>
    </row>
    <row r="33" spans="2:26" ht="13.8" x14ac:dyDescent="0.3">
      <c r="B33" s="62" t="s">
        <v>23</v>
      </c>
      <c r="C33" s="174">
        <v>2</v>
      </c>
      <c r="D33" s="176">
        <f>+J33</f>
        <v>183</v>
      </c>
      <c r="E33" s="174">
        <v>0.9</v>
      </c>
      <c r="F33" s="547">
        <f>57*3</f>
        <v>171</v>
      </c>
      <c r="G33" s="548"/>
      <c r="H33" s="547">
        <f>58*0.2</f>
        <v>11.600000000000001</v>
      </c>
      <c r="I33" s="548"/>
      <c r="J33" s="407">
        <f>ROUNDUP(SUM(F33:I33),0)</f>
        <v>183</v>
      </c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61"/>
      <c r="Y33" s="161"/>
      <c r="Z33" s="161"/>
    </row>
    <row r="34" spans="2:26" ht="13.8" x14ac:dyDescent="0.3">
      <c r="B34" s="62" t="s">
        <v>207</v>
      </c>
      <c r="C34" s="174">
        <v>1</v>
      </c>
      <c r="D34" s="176">
        <f>+D33</f>
        <v>183</v>
      </c>
      <c r="E34" s="174">
        <v>0.9</v>
      </c>
      <c r="F34" s="2"/>
      <c r="J34" s="123"/>
      <c r="K34" s="123"/>
      <c r="Q34" s="2"/>
      <c r="Y34" s="123"/>
      <c r="Z34" s="123"/>
    </row>
    <row r="35" spans="2:26" ht="13.8" x14ac:dyDescent="0.3">
      <c r="B35" s="62" t="s">
        <v>22</v>
      </c>
      <c r="C35" s="174">
        <v>1</v>
      </c>
      <c r="D35" s="176">
        <f>+J33*2</f>
        <v>366</v>
      </c>
      <c r="E35" s="174">
        <v>0.2</v>
      </c>
      <c r="F35" s="2"/>
      <c r="J35" s="123"/>
      <c r="K35" s="123"/>
      <c r="Q35" s="2"/>
      <c r="Y35" s="161"/>
      <c r="Z35" s="161"/>
    </row>
    <row r="36" spans="2:26" ht="13.8" x14ac:dyDescent="0.3">
      <c r="B36" s="62" t="s">
        <v>16</v>
      </c>
      <c r="C36" s="174">
        <v>1</v>
      </c>
      <c r="D36" s="176">
        <f>+D35</f>
        <v>366</v>
      </c>
      <c r="E36" s="174">
        <v>0.55000000000000004</v>
      </c>
      <c r="F36" s="2"/>
      <c r="Q36" s="2"/>
    </row>
    <row r="37" spans="2:26" ht="13.8" x14ac:dyDescent="0.3">
      <c r="B37" s="62" t="s">
        <v>33</v>
      </c>
      <c r="C37" s="174">
        <v>58</v>
      </c>
      <c r="D37" s="176">
        <v>4.9000000000000004</v>
      </c>
      <c r="E37" s="174">
        <v>0.2</v>
      </c>
      <c r="F37" s="2"/>
      <c r="Q37" s="2"/>
    </row>
    <row r="38" spans="2:26" ht="13.8" x14ac:dyDescent="0.3">
      <c r="B38" s="62" t="s">
        <v>208</v>
      </c>
      <c r="C38" s="174"/>
      <c r="D38" s="176"/>
      <c r="E38" s="174"/>
      <c r="F38" s="2"/>
      <c r="Q38" s="2"/>
    </row>
    <row r="39" spans="2:26" ht="13.8" x14ac:dyDescent="0.3">
      <c r="B39" s="159"/>
      <c r="C39" s="140"/>
      <c r="D39" s="140"/>
      <c r="E39" s="140"/>
      <c r="F39" s="140"/>
      <c r="G39" s="140"/>
      <c r="H39" s="140"/>
      <c r="I39" s="141"/>
      <c r="J39" s="160"/>
      <c r="Q39" s="2"/>
    </row>
    <row r="40" spans="2:26" ht="18" customHeight="1" x14ac:dyDescent="0.3">
      <c r="B40" s="158" t="str">
        <f>+'Item de Pago'!B10</f>
        <v>1</v>
      </c>
      <c r="C40" s="597" t="str">
        <f>IF($B40=0,"",VLOOKUP($B40,'Item de Pago'!$B$2:$F$37,2,FALSE))</f>
        <v>CONSTRUCCIÓN DE PLACAS HUELLAS</v>
      </c>
      <c r="D40" s="598"/>
      <c r="E40" s="598"/>
      <c r="F40" s="148"/>
      <c r="G40" s="148"/>
      <c r="H40" s="148"/>
      <c r="I40" s="148"/>
      <c r="J40" s="149"/>
      <c r="K40" s="3"/>
      <c r="Q40" s="2"/>
    </row>
    <row r="41" spans="2:26" ht="5.25" customHeight="1" x14ac:dyDescent="0.3">
      <c r="B41" s="41"/>
      <c r="C41" s="41"/>
      <c r="D41" s="42"/>
      <c r="E41" s="42"/>
      <c r="F41" s="41"/>
      <c r="G41" s="41"/>
      <c r="H41" s="41"/>
      <c r="I41" s="41"/>
      <c r="J41" s="41"/>
      <c r="K41" s="41"/>
      <c r="Q41" s="2"/>
    </row>
    <row r="42" spans="2:26" ht="15.75" customHeight="1" x14ac:dyDescent="0.3">
      <c r="B42" s="150" t="s">
        <v>199</v>
      </c>
      <c r="C42" s="578" t="s">
        <v>118</v>
      </c>
      <c r="D42" s="579"/>
      <c r="E42" s="579"/>
      <c r="F42" s="579"/>
      <c r="G42" s="579"/>
      <c r="H42" s="579"/>
      <c r="I42" s="580"/>
      <c r="J42" s="146" t="s">
        <v>119</v>
      </c>
      <c r="Q42" s="2"/>
    </row>
    <row r="43" spans="2:26" ht="13.8" x14ac:dyDescent="0.3">
      <c r="B43" s="151">
        <f>+'Item de Pago'!B11</f>
        <v>1.1000000000000001</v>
      </c>
      <c r="C43" s="584" t="str">
        <f>IF($B43=0,"",VLOOKUP($B43,'Item de Pago'!$B$2:$F$37,2,FALSE))</f>
        <v>LOCALIZACIÓN Y REPLANTEO</v>
      </c>
      <c r="D43" s="585"/>
      <c r="E43" s="585"/>
      <c r="F43" s="585"/>
      <c r="G43" s="585"/>
      <c r="H43" s="585"/>
      <c r="I43" s="586"/>
      <c r="J43" s="279" t="s">
        <v>51</v>
      </c>
      <c r="Q43" s="2"/>
    </row>
    <row r="44" spans="2:26" ht="4.5" customHeight="1" x14ac:dyDescent="0.3"/>
    <row r="45" spans="2:26" ht="41.4" x14ac:dyDescent="0.3">
      <c r="B45" s="595" t="s">
        <v>29</v>
      </c>
      <c r="C45" s="596"/>
      <c r="D45" s="152" t="s">
        <v>27</v>
      </c>
      <c r="E45" s="152" t="s">
        <v>28</v>
      </c>
      <c r="F45" s="152" t="s">
        <v>120</v>
      </c>
      <c r="G45" s="596" t="s">
        <v>121</v>
      </c>
      <c r="H45" s="596"/>
      <c r="I45" s="152" t="s">
        <v>122</v>
      </c>
      <c r="J45" s="153" t="s">
        <v>15</v>
      </c>
    </row>
    <row r="46" spans="2:26" x14ac:dyDescent="0.3">
      <c r="B46" s="590" t="str">
        <f>+C43</f>
        <v>LOCALIZACIÓN Y REPLANTEO</v>
      </c>
      <c r="C46" s="591"/>
      <c r="D46" s="156">
        <f>+J33</f>
        <v>183</v>
      </c>
      <c r="E46" s="156"/>
      <c r="F46" s="178"/>
      <c r="G46" s="594">
        <f>+D46:D47</f>
        <v>183</v>
      </c>
      <c r="H46" s="594"/>
      <c r="I46" s="156">
        <v>1</v>
      </c>
      <c r="J46" s="168">
        <f>+G46*I46</f>
        <v>183</v>
      </c>
    </row>
    <row r="47" spans="2:26" ht="13.8" x14ac:dyDescent="0.3">
      <c r="J47" s="175">
        <f>ROUND(SUM(J46:J46),0)</f>
        <v>183</v>
      </c>
      <c r="Q47" s="2"/>
    </row>
    <row r="49" spans="2:17" ht="13.8" x14ac:dyDescent="0.3">
      <c r="Q49" s="2"/>
    </row>
    <row r="50" spans="2:17" ht="15.75" customHeight="1" x14ac:dyDescent="0.3">
      <c r="B50" s="150" t="s">
        <v>199</v>
      </c>
      <c r="C50" s="578" t="s">
        <v>118</v>
      </c>
      <c r="D50" s="579"/>
      <c r="E50" s="579"/>
      <c r="F50" s="579"/>
      <c r="G50" s="579"/>
      <c r="H50" s="579"/>
      <c r="I50" s="580"/>
      <c r="J50" s="146" t="s">
        <v>119</v>
      </c>
      <c r="Q50" s="2"/>
    </row>
    <row r="51" spans="2:17" ht="13.8" x14ac:dyDescent="0.3">
      <c r="B51" s="151">
        <f>+'Item de Pago'!B12</f>
        <v>1.2</v>
      </c>
      <c r="C51" s="584" t="str">
        <f>IF($B51=0,"",VLOOKUP($B51,'Item de Pago'!$B$2:$F$37,2,FALSE))</f>
        <v>EXCAVACIÓN MANUAL PARA ESTRUCTURAS - MATERIAL COMÚN - 0.0 A 2.0 M</v>
      </c>
      <c r="D51" s="585"/>
      <c r="E51" s="585"/>
      <c r="F51" s="585"/>
      <c r="G51" s="585"/>
      <c r="H51" s="585"/>
      <c r="I51" s="586"/>
      <c r="J51" s="151" t="str">
        <f>IF($B51=0,"",VLOOKUP($B51,'Item de Pago'!$B$2:$F$37,4,FALSE))</f>
        <v>M3</v>
      </c>
      <c r="Q51" s="2"/>
    </row>
    <row r="52" spans="2:17" ht="4.5" customHeight="1" x14ac:dyDescent="0.3"/>
    <row r="53" spans="2:17" ht="41.4" x14ac:dyDescent="0.3">
      <c r="B53" s="595" t="s">
        <v>29</v>
      </c>
      <c r="C53" s="596"/>
      <c r="D53" s="152" t="s">
        <v>27</v>
      </c>
      <c r="E53" s="152" t="s">
        <v>28</v>
      </c>
      <c r="F53" s="152" t="s">
        <v>120</v>
      </c>
      <c r="G53" s="596" t="s">
        <v>121</v>
      </c>
      <c r="H53" s="596"/>
      <c r="I53" s="152" t="s">
        <v>122</v>
      </c>
      <c r="J53" s="153" t="s">
        <v>15</v>
      </c>
    </row>
    <row r="54" spans="2:17" ht="13.8" x14ac:dyDescent="0.3">
      <c r="B54" s="587" t="s">
        <v>431</v>
      </c>
      <c r="C54" s="588"/>
      <c r="D54" s="43">
        <f>+F33</f>
        <v>171</v>
      </c>
      <c r="E54" s="43">
        <f>+D37</f>
        <v>4.9000000000000004</v>
      </c>
      <c r="F54" s="137">
        <v>0.35</v>
      </c>
      <c r="G54" s="589">
        <f>+D54*E54*F54</f>
        <v>293.26499999999999</v>
      </c>
      <c r="H54" s="589"/>
      <c r="I54" s="43">
        <v>1</v>
      </c>
      <c r="J54" s="154">
        <f>+G54*I54</f>
        <v>293.26499999999999</v>
      </c>
      <c r="Q54" s="2"/>
    </row>
    <row r="55" spans="2:17" ht="13.8" x14ac:dyDescent="0.3">
      <c r="B55" s="587" t="s">
        <v>33</v>
      </c>
      <c r="C55" s="588"/>
      <c r="D55" s="43">
        <v>0.2</v>
      </c>
      <c r="E55" s="43">
        <f>+E54</f>
        <v>4.9000000000000004</v>
      </c>
      <c r="F55" s="44">
        <v>0.35</v>
      </c>
      <c r="G55" s="589">
        <f>+D55*E55*F55</f>
        <v>0.34300000000000003</v>
      </c>
      <c r="H55" s="589"/>
      <c r="I55" s="43">
        <f>+C37</f>
        <v>58</v>
      </c>
      <c r="J55" s="154">
        <f t="shared" ref="J55" si="0">+G55*I55</f>
        <v>19.894000000000002</v>
      </c>
      <c r="Q55" s="2"/>
    </row>
    <row r="56" spans="2:17" ht="13.8" x14ac:dyDescent="0.3">
      <c r="B56" s="587"/>
      <c r="C56" s="588"/>
      <c r="D56" s="43"/>
      <c r="E56" s="43"/>
      <c r="F56" s="44"/>
      <c r="G56" s="589"/>
      <c r="H56" s="589"/>
      <c r="I56" s="43"/>
      <c r="J56" s="154"/>
      <c r="Q56" s="2"/>
    </row>
    <row r="57" spans="2:17" ht="13.8" x14ac:dyDescent="0.3">
      <c r="B57" s="587"/>
      <c r="C57" s="588"/>
      <c r="D57" s="43"/>
      <c r="E57" s="43"/>
      <c r="F57" s="44"/>
      <c r="G57" s="589"/>
      <c r="H57" s="589"/>
      <c r="I57" s="43"/>
      <c r="J57" s="154"/>
      <c r="Q57" s="2"/>
    </row>
    <row r="58" spans="2:17" ht="13.8" x14ac:dyDescent="0.3">
      <c r="B58" s="590"/>
      <c r="C58" s="591"/>
      <c r="D58" s="156"/>
      <c r="E58" s="156"/>
      <c r="F58" s="155"/>
      <c r="G58" s="592"/>
      <c r="H58" s="593"/>
      <c r="I58" s="156"/>
      <c r="J58" s="168"/>
      <c r="Q58" s="2"/>
    </row>
    <row r="59" spans="2:17" ht="13.8" x14ac:dyDescent="0.3">
      <c r="J59" s="175">
        <f>ROUND(SUM(J54:J58),0)</f>
        <v>313</v>
      </c>
      <c r="Q59" s="2"/>
    </row>
    <row r="61" spans="2:17" ht="13.8" x14ac:dyDescent="0.3">
      <c r="Q61" s="2"/>
    </row>
    <row r="62" spans="2:17" ht="15.75" customHeight="1" x14ac:dyDescent="0.3">
      <c r="B62" s="150" t="s">
        <v>199</v>
      </c>
      <c r="C62" s="578" t="s">
        <v>118</v>
      </c>
      <c r="D62" s="579"/>
      <c r="E62" s="579"/>
      <c r="F62" s="579"/>
      <c r="G62" s="579"/>
      <c r="H62" s="579"/>
      <c r="I62" s="580"/>
      <c r="J62" s="146" t="s">
        <v>119</v>
      </c>
      <c r="Q62" s="2"/>
    </row>
    <row r="63" spans="2:17" ht="13.8" x14ac:dyDescent="0.3">
      <c r="B63" s="151">
        <f>+'Item de Pago'!B13</f>
        <v>1.3</v>
      </c>
      <c r="C63" s="584" t="str">
        <f>IF($B63=0,"",VLOOKUP($B63,'Item de Pago'!$B$2:$F$37,2,FALSE))</f>
        <v>RETIRO DE MATERIAL SOBRANTE EN VOLQUETA, CARGUE MANUAL</v>
      </c>
      <c r="D63" s="585"/>
      <c r="E63" s="585"/>
      <c r="F63" s="585"/>
      <c r="G63" s="585"/>
      <c r="H63" s="585"/>
      <c r="I63" s="586"/>
      <c r="J63" s="151" t="str">
        <f>IF($B63=0,"",VLOOKUP($B63,'Item de Pago'!$B$2:$F$37,4,FALSE))</f>
        <v>M3</v>
      </c>
      <c r="Q63" s="2"/>
    </row>
    <row r="64" spans="2:17" ht="4.5" customHeight="1" x14ac:dyDescent="0.3"/>
    <row r="65" spans="2:17" ht="41.4" x14ac:dyDescent="0.3">
      <c r="B65" s="595" t="s">
        <v>29</v>
      </c>
      <c r="C65" s="596"/>
      <c r="D65" s="152" t="s">
        <v>27</v>
      </c>
      <c r="E65" s="152" t="s">
        <v>28</v>
      </c>
      <c r="F65" s="152" t="s">
        <v>120</v>
      </c>
      <c r="G65" s="596" t="s">
        <v>121</v>
      </c>
      <c r="H65" s="596"/>
      <c r="I65" s="152" t="s">
        <v>122</v>
      </c>
      <c r="J65" s="153" t="s">
        <v>15</v>
      </c>
    </row>
    <row r="66" spans="2:17" ht="13.8" x14ac:dyDescent="0.3">
      <c r="B66" s="587" t="s">
        <v>431</v>
      </c>
      <c r="C66" s="588"/>
      <c r="D66" s="43">
        <f>+F33</f>
        <v>171</v>
      </c>
      <c r="E66" s="43">
        <v>4.9000000000000004</v>
      </c>
      <c r="F66" s="293">
        <f>+F54</f>
        <v>0.35</v>
      </c>
      <c r="G66" s="589">
        <f>+D66*E66*F66</f>
        <v>293.26499999999999</v>
      </c>
      <c r="H66" s="589"/>
      <c r="I66" s="43">
        <v>1</v>
      </c>
      <c r="J66" s="154">
        <f>+G66*I66</f>
        <v>293.26499999999999</v>
      </c>
      <c r="Q66" s="2"/>
    </row>
    <row r="67" spans="2:17" ht="13.8" x14ac:dyDescent="0.3">
      <c r="B67" s="587" t="s">
        <v>33</v>
      </c>
      <c r="C67" s="588"/>
      <c r="D67" s="43">
        <f>+D55</f>
        <v>0.2</v>
      </c>
      <c r="E67" s="43">
        <f t="shared" ref="E67:F67" si="1">+E55</f>
        <v>4.9000000000000004</v>
      </c>
      <c r="F67" s="43">
        <f t="shared" si="1"/>
        <v>0.35</v>
      </c>
      <c r="G67" s="589">
        <f>+D67*E67*F67</f>
        <v>0.34300000000000003</v>
      </c>
      <c r="H67" s="589"/>
      <c r="I67" s="43">
        <f>+I55</f>
        <v>58</v>
      </c>
      <c r="J67" s="154">
        <f t="shared" ref="J67" si="2">+G67*I67</f>
        <v>19.894000000000002</v>
      </c>
      <c r="Q67" s="2"/>
    </row>
    <row r="68" spans="2:17" ht="13.8" x14ac:dyDescent="0.3">
      <c r="B68" s="587"/>
      <c r="C68" s="588"/>
      <c r="D68" s="43"/>
      <c r="E68" s="43"/>
      <c r="F68" s="44"/>
      <c r="G68" s="589"/>
      <c r="H68" s="589"/>
      <c r="I68" s="43"/>
      <c r="J68" s="154"/>
      <c r="Q68" s="2"/>
    </row>
    <row r="69" spans="2:17" ht="13.8" x14ac:dyDescent="0.3">
      <c r="B69" s="587"/>
      <c r="C69" s="588"/>
      <c r="D69" s="43"/>
      <c r="E69" s="43"/>
      <c r="F69" s="44"/>
      <c r="G69" s="589"/>
      <c r="H69" s="589"/>
      <c r="I69" s="43"/>
      <c r="J69" s="154"/>
      <c r="Q69" s="2"/>
    </row>
    <row r="70" spans="2:17" ht="13.8" x14ac:dyDescent="0.3">
      <c r="B70" s="590"/>
      <c r="C70" s="591"/>
      <c r="D70" s="156"/>
      <c r="E70" s="156"/>
      <c r="F70" s="155"/>
      <c r="G70" s="592"/>
      <c r="H70" s="593"/>
      <c r="I70" s="156"/>
      <c r="J70" s="168"/>
      <c r="Q70" s="2"/>
    </row>
    <row r="71" spans="2:17" ht="13.8" x14ac:dyDescent="0.3">
      <c r="J71" s="175">
        <f>ROUND(SUM(J66:J70),0)</f>
        <v>313</v>
      </c>
      <c r="Q71" s="2"/>
    </row>
    <row r="73" spans="2:17" ht="13.8" x14ac:dyDescent="0.3">
      <c r="Q73" s="2"/>
    </row>
    <row r="74" spans="2:17" ht="15.75" customHeight="1" x14ac:dyDescent="0.3">
      <c r="B74" s="150" t="s">
        <v>199</v>
      </c>
      <c r="C74" s="578" t="s">
        <v>118</v>
      </c>
      <c r="D74" s="579"/>
      <c r="E74" s="579"/>
      <c r="F74" s="579"/>
      <c r="G74" s="579"/>
      <c r="H74" s="579"/>
      <c r="I74" s="580"/>
      <c r="J74" s="146" t="s">
        <v>119</v>
      </c>
      <c r="Q74" s="2"/>
    </row>
    <row r="75" spans="2:17" ht="13.8" x14ac:dyDescent="0.3">
      <c r="B75" s="151">
        <f>+'Item de Pago'!B14</f>
        <v>1.4</v>
      </c>
      <c r="C75" s="584" t="str">
        <f>IF($B75=0,"",VLOOKUP($B75,'Item de Pago'!$B$2:$F$37,2,FALSE))</f>
        <v>CONFORMACIÓN DE LA SUBRASANTE</v>
      </c>
      <c r="D75" s="585"/>
      <c r="E75" s="585"/>
      <c r="F75" s="585"/>
      <c r="G75" s="585"/>
      <c r="H75" s="585"/>
      <c r="I75" s="586"/>
      <c r="J75" s="151" t="str">
        <f>IF($B75=0,"",VLOOKUP($B75,'Item de Pago'!$B$2:$F$37,4,FALSE))</f>
        <v>M2</v>
      </c>
      <c r="Q75" s="2"/>
    </row>
    <row r="76" spans="2:17" ht="4.5" customHeight="1" x14ac:dyDescent="0.3"/>
    <row r="77" spans="2:17" ht="41.4" x14ac:dyDescent="0.3">
      <c r="B77" s="595" t="s">
        <v>29</v>
      </c>
      <c r="C77" s="596"/>
      <c r="D77" s="152" t="s">
        <v>27</v>
      </c>
      <c r="E77" s="152" t="s">
        <v>28</v>
      </c>
      <c r="F77" s="152" t="s">
        <v>120</v>
      </c>
      <c r="G77" s="596" t="s">
        <v>121</v>
      </c>
      <c r="H77" s="596"/>
      <c r="I77" s="152" t="s">
        <v>122</v>
      </c>
      <c r="J77" s="153" t="s">
        <v>15</v>
      </c>
    </row>
    <row r="78" spans="2:17" ht="13.8" x14ac:dyDescent="0.3">
      <c r="B78" s="587" t="s">
        <v>431</v>
      </c>
      <c r="C78" s="588"/>
      <c r="D78" s="43">
        <f>+J33</f>
        <v>183</v>
      </c>
      <c r="E78" s="43">
        <f>+E66</f>
        <v>4.9000000000000004</v>
      </c>
      <c r="F78" s="137"/>
      <c r="G78" s="589">
        <f>+D78*E78</f>
        <v>896.7</v>
      </c>
      <c r="H78" s="589"/>
      <c r="I78" s="43">
        <v>1</v>
      </c>
      <c r="J78" s="154">
        <f>+G78*I78</f>
        <v>896.7</v>
      </c>
      <c r="Q78" s="2"/>
    </row>
    <row r="79" spans="2:17" ht="13.8" x14ac:dyDescent="0.3">
      <c r="B79" s="587"/>
      <c r="C79" s="588"/>
      <c r="D79" s="43"/>
      <c r="E79" s="43"/>
      <c r="F79" s="44"/>
      <c r="G79" s="589"/>
      <c r="H79" s="589"/>
      <c r="I79" s="43"/>
      <c r="J79" s="154"/>
      <c r="Q79" s="2"/>
    </row>
    <row r="80" spans="2:17" ht="13.8" x14ac:dyDescent="0.3">
      <c r="B80" s="587"/>
      <c r="C80" s="588"/>
      <c r="D80" s="43"/>
      <c r="E80" s="43"/>
      <c r="F80" s="44"/>
      <c r="G80" s="589"/>
      <c r="H80" s="589"/>
      <c r="I80" s="43"/>
      <c r="J80" s="154"/>
      <c r="Q80" s="2"/>
    </row>
    <row r="81" spans="2:17" ht="13.8" x14ac:dyDescent="0.3">
      <c r="B81" s="587"/>
      <c r="C81" s="588"/>
      <c r="D81" s="43"/>
      <c r="E81" s="43"/>
      <c r="F81" s="44"/>
      <c r="G81" s="589"/>
      <c r="H81" s="589"/>
      <c r="I81" s="43"/>
      <c r="J81" s="154"/>
      <c r="Q81" s="2"/>
    </row>
    <row r="82" spans="2:17" ht="13.8" x14ac:dyDescent="0.3">
      <c r="B82" s="590"/>
      <c r="C82" s="591"/>
      <c r="D82" s="156"/>
      <c r="E82" s="156"/>
      <c r="F82" s="155"/>
      <c r="G82" s="594"/>
      <c r="H82" s="594"/>
      <c r="I82" s="156"/>
      <c r="J82" s="168"/>
      <c r="Q82" s="2"/>
    </row>
    <row r="83" spans="2:17" x14ac:dyDescent="0.3">
      <c r="J83" s="175">
        <f>ROUND(SUM(J78:J82),0)</f>
        <v>897</v>
      </c>
    </row>
    <row r="85" spans="2:17" ht="13.8" x14ac:dyDescent="0.3">
      <c r="Q85" s="2"/>
    </row>
    <row r="86" spans="2:17" ht="15.75" customHeight="1" x14ac:dyDescent="0.3">
      <c r="B86" s="150" t="s">
        <v>199</v>
      </c>
      <c r="C86" s="578" t="s">
        <v>118</v>
      </c>
      <c r="D86" s="579"/>
      <c r="E86" s="579"/>
      <c r="F86" s="579"/>
      <c r="G86" s="579"/>
      <c r="H86" s="579"/>
      <c r="I86" s="580"/>
      <c r="J86" s="146" t="s">
        <v>119</v>
      </c>
      <c r="Q86" s="2"/>
    </row>
    <row r="87" spans="2:17" ht="13.8" x14ac:dyDescent="0.3">
      <c r="B87" s="151">
        <f>+'Item de Pago'!B15</f>
        <v>1.5</v>
      </c>
      <c r="C87" s="584" t="str">
        <f>IF($B87=0,"",VLOOKUP($B87,'Item de Pago'!$B$2:$F$37,2,FALSE))</f>
        <v>AFIRMADO COMPACTADO PARA ESTRUCTURAS</v>
      </c>
      <c r="D87" s="585"/>
      <c r="E87" s="585"/>
      <c r="F87" s="585"/>
      <c r="G87" s="585"/>
      <c r="H87" s="585"/>
      <c r="I87" s="586"/>
      <c r="J87" s="151" t="str">
        <f>IF($B87=0,"",VLOOKUP($B87,'Item de Pago'!$B$2:$F$37,4,FALSE))</f>
        <v>M3</v>
      </c>
      <c r="Q87" s="2"/>
    </row>
    <row r="88" spans="2:17" ht="4.5" customHeight="1" x14ac:dyDescent="0.3"/>
    <row r="89" spans="2:17" ht="41.4" x14ac:dyDescent="0.3">
      <c r="B89" s="595" t="s">
        <v>29</v>
      </c>
      <c r="C89" s="596"/>
      <c r="D89" s="152" t="s">
        <v>27</v>
      </c>
      <c r="E89" s="152" t="s">
        <v>28</v>
      </c>
      <c r="F89" s="152" t="s">
        <v>120</v>
      </c>
      <c r="G89" s="596" t="s">
        <v>121</v>
      </c>
      <c r="H89" s="596"/>
      <c r="I89" s="152" t="s">
        <v>122</v>
      </c>
      <c r="J89" s="153" t="s">
        <v>15</v>
      </c>
    </row>
    <row r="90" spans="2:17" ht="13.8" x14ac:dyDescent="0.3">
      <c r="B90" s="587" t="s">
        <v>431</v>
      </c>
      <c r="C90" s="588"/>
      <c r="D90" s="43">
        <f>+D78</f>
        <v>183</v>
      </c>
      <c r="E90" s="43">
        <f>+E66</f>
        <v>4.9000000000000004</v>
      </c>
      <c r="F90" s="137">
        <v>0.2</v>
      </c>
      <c r="G90" s="589">
        <f>+D90*E90*F90</f>
        <v>179.34000000000003</v>
      </c>
      <c r="H90" s="589"/>
      <c r="I90" s="43">
        <v>1</v>
      </c>
      <c r="J90" s="154">
        <f>+G90*I90</f>
        <v>179.34000000000003</v>
      </c>
      <c r="Q90" s="2"/>
    </row>
    <row r="91" spans="2:17" ht="13.8" x14ac:dyDescent="0.3">
      <c r="B91" s="587"/>
      <c r="C91" s="588"/>
      <c r="D91" s="43"/>
      <c r="E91" s="43"/>
      <c r="F91" s="44"/>
      <c r="G91" s="589"/>
      <c r="H91" s="589"/>
      <c r="I91" s="43"/>
      <c r="J91" s="154"/>
      <c r="Q91" s="2"/>
    </row>
    <row r="92" spans="2:17" ht="13.8" x14ac:dyDescent="0.3">
      <c r="B92" s="587"/>
      <c r="C92" s="588"/>
      <c r="D92" s="43"/>
      <c r="E92" s="43"/>
      <c r="F92" s="137"/>
      <c r="G92" s="589"/>
      <c r="H92" s="589"/>
      <c r="I92" s="43"/>
      <c r="J92" s="154"/>
      <c r="Q92" s="2"/>
    </row>
    <row r="93" spans="2:17" ht="13.8" x14ac:dyDescent="0.3">
      <c r="B93" s="587"/>
      <c r="C93" s="588"/>
      <c r="D93" s="43"/>
      <c r="E93" s="43"/>
      <c r="F93" s="44"/>
      <c r="G93" s="589"/>
      <c r="H93" s="589"/>
      <c r="I93" s="43"/>
      <c r="J93" s="154"/>
      <c r="Q93" s="2"/>
    </row>
    <row r="94" spans="2:17" ht="13.8" x14ac:dyDescent="0.3">
      <c r="B94" s="590"/>
      <c r="C94" s="591"/>
      <c r="D94" s="156"/>
      <c r="E94" s="156"/>
      <c r="F94" s="155"/>
      <c r="G94" s="594"/>
      <c r="H94" s="594"/>
      <c r="I94" s="156"/>
      <c r="J94" s="168"/>
      <c r="Q94" s="2"/>
    </row>
    <row r="95" spans="2:17" ht="13.8" x14ac:dyDescent="0.3">
      <c r="J95" s="157">
        <f>ROUND(SUM(J90:J94),0)</f>
        <v>179</v>
      </c>
      <c r="Q95" s="2"/>
    </row>
    <row r="97" spans="2:17" ht="13.8" x14ac:dyDescent="0.3">
      <c r="Q97" s="2"/>
    </row>
    <row r="98" spans="2:17" ht="15.75" customHeight="1" x14ac:dyDescent="0.3">
      <c r="B98" s="150" t="s">
        <v>199</v>
      </c>
      <c r="C98" s="578" t="s">
        <v>118</v>
      </c>
      <c r="D98" s="579"/>
      <c r="E98" s="579"/>
      <c r="F98" s="579"/>
      <c r="G98" s="579"/>
      <c r="H98" s="579"/>
      <c r="I98" s="580"/>
      <c r="J98" s="146" t="s">
        <v>119</v>
      </c>
      <c r="Q98" s="2"/>
    </row>
    <row r="99" spans="2:17" ht="28.5" customHeight="1" x14ac:dyDescent="0.3">
      <c r="B99" s="151">
        <f>+'Item de Pago'!B16</f>
        <v>1.6</v>
      </c>
      <c r="C99" s="584" t="str">
        <f>IF($B99=0,"",VLOOKUP($B99,'Item de Pago'!$B$2:$F$37,2,FALSE))</f>
        <v>CONCRETO DE 210 KG/CM² (3.000 PSI), ESPESOR 0,15 M - PLACAS HUELLAS Y VIGAS RIOSTRAS</v>
      </c>
      <c r="D99" s="585"/>
      <c r="E99" s="585"/>
      <c r="F99" s="585"/>
      <c r="G99" s="585"/>
      <c r="H99" s="585"/>
      <c r="I99" s="586"/>
      <c r="J99" s="151" t="str">
        <f>IF($B99=0,"",VLOOKUP($B99,'Item de Pago'!$B$2:$F$37,4,FALSE))</f>
        <v>M3</v>
      </c>
      <c r="Q99" s="2"/>
    </row>
    <row r="100" spans="2:17" ht="4.5" customHeight="1" x14ac:dyDescent="0.3"/>
    <row r="101" spans="2:17" ht="41.4" x14ac:dyDescent="0.3">
      <c r="B101" s="595" t="s">
        <v>29</v>
      </c>
      <c r="C101" s="596"/>
      <c r="D101" s="152" t="s">
        <v>27</v>
      </c>
      <c r="E101" s="152" t="s">
        <v>28</v>
      </c>
      <c r="F101" s="152" t="s">
        <v>120</v>
      </c>
      <c r="G101" s="596" t="s">
        <v>121</v>
      </c>
      <c r="H101" s="596"/>
      <c r="I101" s="152" t="s">
        <v>122</v>
      </c>
      <c r="J101" s="153" t="s">
        <v>15</v>
      </c>
    </row>
    <row r="102" spans="2:17" ht="13.8" x14ac:dyDescent="0.3">
      <c r="B102" s="587" t="s">
        <v>23</v>
      </c>
      <c r="C102" s="588"/>
      <c r="D102" s="43">
        <f>+F33</f>
        <v>171</v>
      </c>
      <c r="E102" s="43">
        <f>+E33</f>
        <v>0.9</v>
      </c>
      <c r="F102" s="137">
        <v>0.15</v>
      </c>
      <c r="G102" s="589">
        <f>+D102*E102*F102</f>
        <v>23.085000000000001</v>
      </c>
      <c r="H102" s="589"/>
      <c r="I102" s="43">
        <f>+VLOOKUP(B102,$B$33:$E$37,2,FALSE)</f>
        <v>2</v>
      </c>
      <c r="J102" s="154">
        <f>+G102*I102</f>
        <v>46.17</v>
      </c>
      <c r="Q102" s="2"/>
    </row>
    <row r="103" spans="2:17" ht="13.8" x14ac:dyDescent="0.3">
      <c r="B103" s="590" t="s">
        <v>33</v>
      </c>
      <c r="C103" s="591"/>
      <c r="D103" s="156">
        <f>+E78</f>
        <v>4.9000000000000004</v>
      </c>
      <c r="E103" s="156">
        <f>+VLOOKUP(B103,$B$33:$E$37,4,FALSE)</f>
        <v>0.2</v>
      </c>
      <c r="F103" s="155">
        <v>0.25</v>
      </c>
      <c r="G103" s="594">
        <f>+D103*E103*F103</f>
        <v>0.24500000000000002</v>
      </c>
      <c r="H103" s="594"/>
      <c r="I103" s="156">
        <f>+C37</f>
        <v>58</v>
      </c>
      <c r="J103" s="168">
        <f>+G103*I103</f>
        <v>14.21</v>
      </c>
      <c r="Q103" s="2"/>
    </row>
    <row r="104" spans="2:17" ht="13.8" x14ac:dyDescent="0.3">
      <c r="J104" s="157">
        <f>ROUND(SUM(J102:J103),0)</f>
        <v>60</v>
      </c>
      <c r="Q104" s="2"/>
    </row>
    <row r="107" spans="2:17" ht="15.75" customHeight="1" x14ac:dyDescent="0.3">
      <c r="B107" s="150" t="s">
        <v>199</v>
      </c>
      <c r="C107" s="578" t="s">
        <v>118</v>
      </c>
      <c r="D107" s="579"/>
      <c r="E107" s="579"/>
      <c r="F107" s="579"/>
      <c r="G107" s="579"/>
      <c r="H107" s="579"/>
      <c r="I107" s="580"/>
      <c r="J107" s="146" t="s">
        <v>119</v>
      </c>
      <c r="Q107" s="2"/>
    </row>
    <row r="108" spans="2:17" ht="28.5" customHeight="1" x14ac:dyDescent="0.3">
      <c r="B108" s="151">
        <v>1.7</v>
      </c>
      <c r="C108" s="584" t="str">
        <f>IF($B108=0,"",VLOOKUP($B108,'Item de Pago'!$B$2:$F$37,2,FALSE))</f>
        <v>CONCRETO CICLÓPEO ESPESOR 0,15 M (60% CONCRETO 3000 PSI Y 40% PIEDRA DE MANO)</v>
      </c>
      <c r="D108" s="585"/>
      <c r="E108" s="585"/>
      <c r="F108" s="585"/>
      <c r="G108" s="585"/>
      <c r="H108" s="585"/>
      <c r="I108" s="586"/>
      <c r="J108" s="151" t="str">
        <f>IF($B108=0,"",VLOOKUP($B108,'Item de Pago'!$B$2:$F$37,4,FALSE))</f>
        <v>M3</v>
      </c>
      <c r="Q108" s="2"/>
    </row>
    <row r="109" spans="2:17" ht="4.5" customHeight="1" x14ac:dyDescent="0.3"/>
    <row r="110" spans="2:17" ht="41.4" x14ac:dyDescent="0.3">
      <c r="B110" s="595" t="s">
        <v>29</v>
      </c>
      <c r="C110" s="596"/>
      <c r="D110" s="152" t="s">
        <v>27</v>
      </c>
      <c r="E110" s="152" t="s">
        <v>28</v>
      </c>
      <c r="F110" s="152" t="s">
        <v>120</v>
      </c>
      <c r="G110" s="596" t="s">
        <v>121</v>
      </c>
      <c r="H110" s="596"/>
      <c r="I110" s="152" t="s">
        <v>122</v>
      </c>
      <c r="J110" s="153" t="s">
        <v>15</v>
      </c>
    </row>
    <row r="111" spans="2:17" ht="13.8" x14ac:dyDescent="0.3">
      <c r="B111" s="590" t="s">
        <v>207</v>
      </c>
      <c r="C111" s="591"/>
      <c r="D111" s="156">
        <f>+F33</f>
        <v>171</v>
      </c>
      <c r="E111" s="156">
        <f>+E34</f>
        <v>0.9</v>
      </c>
      <c r="F111" s="178">
        <v>0.15</v>
      </c>
      <c r="G111" s="594">
        <f>+D111*E111*F111</f>
        <v>23.085000000000001</v>
      </c>
      <c r="H111" s="594"/>
      <c r="I111" s="156">
        <f>+VLOOKUP(B111,$B$33:$E$37,2,FALSE)</f>
        <v>1</v>
      </c>
      <c r="J111" s="168">
        <f>+G111*I111</f>
        <v>23.085000000000001</v>
      </c>
      <c r="Q111" s="2"/>
    </row>
    <row r="112" spans="2:17" ht="13.8" x14ac:dyDescent="0.3">
      <c r="J112" s="175">
        <f>ROUND(SUM(J111:J111),0)</f>
        <v>23</v>
      </c>
      <c r="Q112" s="2"/>
    </row>
    <row r="114" spans="2:17" ht="13.8" x14ac:dyDescent="0.3">
      <c r="Q114" s="2"/>
    </row>
    <row r="115" spans="2:17" ht="15.75" customHeight="1" x14ac:dyDescent="0.3">
      <c r="B115" s="150" t="s">
        <v>199</v>
      </c>
      <c r="C115" s="578" t="s">
        <v>118</v>
      </c>
      <c r="D115" s="579"/>
      <c r="E115" s="579"/>
      <c r="F115" s="579"/>
      <c r="G115" s="579"/>
      <c r="H115" s="579"/>
      <c r="I115" s="580"/>
      <c r="J115" s="146" t="s">
        <v>119</v>
      </c>
      <c r="Q115" s="2"/>
    </row>
    <row r="116" spans="2:17" ht="31.5" customHeight="1" x14ac:dyDescent="0.3">
      <c r="B116" s="151">
        <v>1.8</v>
      </c>
      <c r="C116" s="584" t="str">
        <f>IF($B116=0,"",VLOOKUP($B116,'Item de Pago'!$B$2:$F$37,2,FALSE))</f>
        <v>ACERO DE REFUERZO 4.200 KG/CM²  (60.000 PSI) PARA PLACAS Y RIOSTRAS. (INCLUYE ALAMBRE NEGRO Y FIGURACION)</v>
      </c>
      <c r="D116" s="585"/>
      <c r="E116" s="585"/>
      <c r="F116" s="585"/>
      <c r="G116" s="585"/>
      <c r="H116" s="585"/>
      <c r="I116" s="586"/>
      <c r="J116" s="151" t="str">
        <f>IF($B116=0,"",VLOOKUP($B116,'Item de Pago'!$B$2:$F$37,4,FALSE))</f>
        <v>KG</v>
      </c>
      <c r="Q116" s="2"/>
    </row>
    <row r="117" spans="2:17" ht="4.5" customHeight="1" x14ac:dyDescent="0.3">
      <c r="D117" s="2"/>
      <c r="E117" s="2"/>
      <c r="F117" s="2"/>
      <c r="Q117" s="2"/>
    </row>
    <row r="118" spans="2:17" ht="41.4" x14ac:dyDescent="0.3">
      <c r="B118" s="595" t="s">
        <v>29</v>
      </c>
      <c r="C118" s="596"/>
      <c r="D118" s="152" t="s">
        <v>27</v>
      </c>
      <c r="E118" s="152" t="s">
        <v>28</v>
      </c>
      <c r="F118" s="152" t="s">
        <v>123</v>
      </c>
      <c r="G118" s="152" t="s">
        <v>124</v>
      </c>
      <c r="H118" s="152" t="s">
        <v>121</v>
      </c>
      <c r="I118" s="152" t="s">
        <v>122</v>
      </c>
      <c r="J118" s="153" t="s">
        <v>15</v>
      </c>
    </row>
    <row r="119" spans="2:17" x14ac:dyDescent="0.3">
      <c r="B119" s="602" t="s">
        <v>23</v>
      </c>
      <c r="C119" s="47" t="s">
        <v>24</v>
      </c>
      <c r="D119" s="43">
        <f>+J33*1.1154</f>
        <v>204.1182</v>
      </c>
      <c r="E119" s="45"/>
      <c r="F119" s="46">
        <v>7</v>
      </c>
      <c r="G119" s="183">
        <v>0.56000000000000005</v>
      </c>
      <c r="H119" s="177">
        <f>+D119*F119*G119</f>
        <v>800.14334400000018</v>
      </c>
      <c r="I119" s="43">
        <f>+VLOOKUP($B$119,$B$33:$E$37,2,FALSE)</f>
        <v>2</v>
      </c>
      <c r="J119" s="163">
        <f>+H119*I119</f>
        <v>1600.2866880000004</v>
      </c>
    </row>
    <row r="120" spans="2:17" x14ac:dyDescent="0.3">
      <c r="B120" s="604"/>
      <c r="C120" s="47" t="s">
        <v>25</v>
      </c>
      <c r="D120" s="43">
        <f>0.8+0.8</f>
        <v>1.6</v>
      </c>
      <c r="E120" s="43"/>
      <c r="F120" s="44">
        <f>+ROUND(((F33/0.2)+50),0)</f>
        <v>905</v>
      </c>
      <c r="G120" s="183">
        <v>0.56000000000000005</v>
      </c>
      <c r="H120" s="177">
        <f>+D120*F120*G120</f>
        <v>810.88000000000011</v>
      </c>
      <c r="I120" s="43">
        <f>+VLOOKUP($B$119,$B$33:$E$37,2,FALSE)</f>
        <v>2</v>
      </c>
      <c r="J120" s="154">
        <f>+H120*I120</f>
        <v>1621.7600000000002</v>
      </c>
    </row>
    <row r="121" spans="2:17" x14ac:dyDescent="0.3">
      <c r="B121" s="602" t="s">
        <v>33</v>
      </c>
      <c r="C121" s="47" t="s">
        <v>24</v>
      </c>
      <c r="D121" s="43">
        <v>4.7</v>
      </c>
      <c r="E121" s="43"/>
      <c r="F121" s="44">
        <v>4</v>
      </c>
      <c r="G121" s="184">
        <f>G120</f>
        <v>0.56000000000000005</v>
      </c>
      <c r="H121" s="177">
        <f>+D121*F121*G121</f>
        <v>10.528000000000002</v>
      </c>
      <c r="I121" s="43">
        <f>+I67</f>
        <v>58</v>
      </c>
      <c r="J121" s="154">
        <f>+H121*I121</f>
        <v>610.62400000000014</v>
      </c>
    </row>
    <row r="122" spans="2:17" x14ac:dyDescent="0.3">
      <c r="B122" s="604"/>
      <c r="C122" s="47" t="s">
        <v>432</v>
      </c>
      <c r="D122" s="43">
        <v>0.74</v>
      </c>
      <c r="E122" s="43"/>
      <c r="F122" s="44">
        <v>19</v>
      </c>
      <c r="G122" s="184">
        <v>0.56000000000000005</v>
      </c>
      <c r="H122" s="177">
        <f>+D122*F122*G122</f>
        <v>7.8736000000000006</v>
      </c>
      <c r="I122" s="43">
        <f>+I121</f>
        <v>58</v>
      </c>
      <c r="J122" s="154">
        <f>+H122*I122</f>
        <v>456.66880000000003</v>
      </c>
    </row>
    <row r="123" spans="2:17" x14ac:dyDescent="0.3">
      <c r="B123" s="602" t="s">
        <v>208</v>
      </c>
      <c r="C123" s="47" t="s">
        <v>433</v>
      </c>
      <c r="D123" s="43">
        <v>0.3</v>
      </c>
      <c r="E123" s="43"/>
      <c r="F123" s="44">
        <f>+D35/0.25</f>
        <v>1464</v>
      </c>
      <c r="G123" s="184">
        <v>0.56000000000000005</v>
      </c>
      <c r="H123" s="177">
        <f>+D123*F123*G123</f>
        <v>245.95200000000003</v>
      </c>
      <c r="I123" s="44">
        <v>1</v>
      </c>
      <c r="J123" s="154">
        <f>+H123*I123</f>
        <v>245.95200000000003</v>
      </c>
    </row>
    <row r="124" spans="2:17" x14ac:dyDescent="0.3">
      <c r="B124" s="604"/>
      <c r="C124" s="47"/>
      <c r="D124" s="44"/>
      <c r="E124" s="43"/>
      <c r="F124" s="44"/>
      <c r="G124" s="181"/>
      <c r="H124" s="177"/>
      <c r="I124" s="44"/>
      <c r="J124" s="154"/>
    </row>
    <row r="125" spans="2:17" x14ac:dyDescent="0.3">
      <c r="B125" s="619"/>
      <c r="C125" s="272"/>
      <c r="D125" s="273"/>
      <c r="E125" s="273"/>
      <c r="F125" s="274"/>
      <c r="G125" s="275"/>
      <c r="H125" s="276"/>
      <c r="I125" s="274"/>
      <c r="J125" s="277"/>
    </row>
    <row r="126" spans="2:17" x14ac:dyDescent="0.3">
      <c r="B126" s="620"/>
      <c r="C126" s="272"/>
      <c r="D126" s="274"/>
      <c r="E126" s="273"/>
      <c r="F126" s="274"/>
      <c r="G126" s="278"/>
      <c r="H126" s="276"/>
      <c r="I126" s="274"/>
      <c r="J126" s="277"/>
    </row>
    <row r="127" spans="2:17" x14ac:dyDescent="0.3">
      <c r="B127" s="602"/>
      <c r="C127" s="47"/>
      <c r="D127" s="43"/>
      <c r="E127" s="43"/>
      <c r="F127" s="44"/>
      <c r="G127" s="181"/>
      <c r="H127" s="177"/>
      <c r="I127" s="43"/>
      <c r="J127" s="154"/>
    </row>
    <row r="128" spans="2:17" x14ac:dyDescent="0.3">
      <c r="B128" s="611"/>
      <c r="C128" s="166"/>
      <c r="D128" s="155"/>
      <c r="E128" s="156"/>
      <c r="F128" s="155"/>
      <c r="G128" s="180"/>
      <c r="H128" s="182"/>
      <c r="I128" s="156"/>
      <c r="J128" s="168"/>
    </row>
    <row r="129" spans="2:17" x14ac:dyDescent="0.3">
      <c r="J129" s="175">
        <f>ROUND(SUM(J119:J128),2)</f>
        <v>4535.29</v>
      </c>
    </row>
    <row r="132" spans="2:17" ht="15.75" customHeight="1" x14ac:dyDescent="0.3">
      <c r="B132" s="150" t="s">
        <v>199</v>
      </c>
      <c r="C132" s="578" t="s">
        <v>118</v>
      </c>
      <c r="D132" s="579"/>
      <c r="E132" s="579"/>
      <c r="F132" s="579"/>
      <c r="G132" s="579"/>
      <c r="H132" s="579"/>
      <c r="I132" s="580"/>
      <c r="J132" s="146" t="s">
        <v>119</v>
      </c>
      <c r="Q132" s="2"/>
    </row>
    <row r="133" spans="2:17" ht="28.5" customHeight="1" x14ac:dyDescent="0.3">
      <c r="B133" s="151">
        <v>1.9</v>
      </c>
      <c r="C133" s="584" t="str">
        <f>IF($B133=0,"",VLOOKUP($B133,'Item de Pago'!$B$2:$F$37,2,FALSE))</f>
        <v>CUNETA Y BORDILLO PARA VÍA VEHICULAR CONCRETO CLASE II PRODUCIDO EN OBRA</v>
      </c>
      <c r="D133" s="585"/>
      <c r="E133" s="585"/>
      <c r="F133" s="585"/>
      <c r="G133" s="585"/>
      <c r="H133" s="585"/>
      <c r="I133" s="586"/>
      <c r="J133" s="151" t="str">
        <f>IF($B133=0,"",VLOOKUP($B133,'Item de Pago'!$B$2:$F$37,4,FALSE))</f>
        <v>M3</v>
      </c>
      <c r="Q133" s="2"/>
    </row>
    <row r="134" spans="2:17" ht="4.5" customHeight="1" x14ac:dyDescent="0.3"/>
    <row r="135" spans="2:17" ht="41.4" x14ac:dyDescent="0.3">
      <c r="B135" s="595" t="s">
        <v>29</v>
      </c>
      <c r="C135" s="596"/>
      <c r="D135" s="152" t="s">
        <v>27</v>
      </c>
      <c r="E135" s="152" t="s">
        <v>28</v>
      </c>
      <c r="F135" s="152" t="s">
        <v>120</v>
      </c>
      <c r="G135" s="596" t="s">
        <v>121</v>
      </c>
      <c r="H135" s="596"/>
      <c r="I135" s="152" t="s">
        <v>122</v>
      </c>
      <c r="J135" s="153" t="s">
        <v>15</v>
      </c>
    </row>
    <row r="136" spans="2:17" ht="15" customHeight="1" x14ac:dyDescent="0.3">
      <c r="B136" s="587" t="s">
        <v>16</v>
      </c>
      <c r="C136" s="588"/>
      <c r="D136" s="43">
        <f>+J47*2</f>
        <v>366</v>
      </c>
      <c r="E136" s="43">
        <v>0.55000000000000004</v>
      </c>
      <c r="F136" s="137">
        <v>0.15</v>
      </c>
      <c r="G136" s="589">
        <f>+D136*E136*F136</f>
        <v>30.195</v>
      </c>
      <c r="H136" s="589"/>
      <c r="I136" s="43">
        <f>+VLOOKUP(B136,$B$33:$E$37,2,FALSE)</f>
        <v>1</v>
      </c>
      <c r="J136" s="154">
        <f>+G136*I136</f>
        <v>30.195</v>
      </c>
      <c r="Q136" s="2"/>
    </row>
    <row r="137" spans="2:17" ht="15" customHeight="1" x14ac:dyDescent="0.3">
      <c r="B137" s="617" t="s">
        <v>22</v>
      </c>
      <c r="C137" s="618"/>
      <c r="D137" s="156">
        <f>+D136</f>
        <v>366</v>
      </c>
      <c r="E137" s="156">
        <v>0.15</v>
      </c>
      <c r="F137" s="155">
        <v>0.3</v>
      </c>
      <c r="G137" s="594">
        <f>+D137*E137*F137</f>
        <v>16.47</v>
      </c>
      <c r="H137" s="594"/>
      <c r="I137" s="156">
        <f t="shared" ref="I137" si="3">+VLOOKUP(B137,$B$33:$E$37,2,FALSE)</f>
        <v>1</v>
      </c>
      <c r="J137" s="168">
        <f>+G137*I137</f>
        <v>16.47</v>
      </c>
      <c r="Q137" s="2"/>
    </row>
    <row r="138" spans="2:17" ht="13.8" x14ac:dyDescent="0.3">
      <c r="J138" s="175">
        <f>ROUND(SUM(J136:J137),0)</f>
        <v>47</v>
      </c>
      <c r="Q138" s="2"/>
    </row>
    <row r="141" spans="2:17" ht="15.75" customHeight="1" x14ac:dyDescent="0.3">
      <c r="B141" s="150" t="s">
        <v>199</v>
      </c>
      <c r="C141" s="578" t="s">
        <v>118</v>
      </c>
      <c r="D141" s="579"/>
      <c r="E141" s="579"/>
      <c r="F141" s="579"/>
      <c r="G141" s="579"/>
      <c r="H141" s="579"/>
      <c r="I141" s="580"/>
      <c r="J141" s="146" t="s">
        <v>119</v>
      </c>
      <c r="Q141" s="2"/>
    </row>
    <row r="142" spans="2:17" ht="28.5" customHeight="1" x14ac:dyDescent="0.3">
      <c r="B142" s="185">
        <v>1.1000000000000001</v>
      </c>
      <c r="C142" s="584" t="str">
        <f>IF($B142=0,"",VLOOKUP($B142,'Item de Pago'!B12:F37,2,FALSE))</f>
        <v>SARDINEL ANCHO = 20 CM H =  ENTRE  17 Y 24 CM  EN CONCRETO 3000 PSI</v>
      </c>
      <c r="D142" s="585"/>
      <c r="E142" s="585"/>
      <c r="F142" s="585"/>
      <c r="G142" s="585"/>
      <c r="H142" s="585"/>
      <c r="I142" s="586"/>
      <c r="J142" s="279" t="s">
        <v>51</v>
      </c>
      <c r="Q142" s="2"/>
    </row>
    <row r="143" spans="2:17" ht="4.5" customHeight="1" x14ac:dyDescent="0.3"/>
    <row r="144" spans="2:17" ht="41.4" x14ac:dyDescent="0.3">
      <c r="B144" s="595" t="s">
        <v>29</v>
      </c>
      <c r="C144" s="596"/>
      <c r="D144" s="152" t="s">
        <v>27</v>
      </c>
      <c r="E144" s="152" t="s">
        <v>28</v>
      </c>
      <c r="F144" s="152" t="s">
        <v>120</v>
      </c>
      <c r="G144" s="596" t="s">
        <v>121</v>
      </c>
      <c r="H144" s="596"/>
      <c r="I144" s="152" t="s">
        <v>122</v>
      </c>
      <c r="J144" s="153" t="s">
        <v>15</v>
      </c>
    </row>
    <row r="145" spans="2:17" ht="15" customHeight="1" x14ac:dyDescent="0.3">
      <c r="B145" s="590" t="s">
        <v>208</v>
      </c>
      <c r="C145" s="591"/>
      <c r="D145" s="156">
        <v>25</v>
      </c>
      <c r="E145" s="156"/>
      <c r="F145" s="178"/>
      <c r="G145" s="594">
        <f>+D145</f>
        <v>25</v>
      </c>
      <c r="H145" s="594"/>
      <c r="I145" s="156">
        <f>+VLOOKUP(B145,$B$33:$E$38,2,FALSE)</f>
        <v>0</v>
      </c>
      <c r="J145" s="168">
        <f>+G145*I145</f>
        <v>0</v>
      </c>
      <c r="Q145" s="2"/>
    </row>
    <row r="146" spans="2:17" ht="13.8" x14ac:dyDescent="0.3">
      <c r="J146" s="175">
        <f>ROUND(SUM(J145:J145),0)</f>
        <v>0</v>
      </c>
      <c r="Q146" s="2"/>
    </row>
    <row r="147" spans="2:17" ht="13.8" x14ac:dyDescent="0.3">
      <c r="D147" s="2"/>
      <c r="E147" s="2"/>
      <c r="F147" s="2"/>
      <c r="Q147" s="2"/>
    </row>
    <row r="148" spans="2:17" ht="13.8" x14ac:dyDescent="0.3">
      <c r="D148" s="2"/>
      <c r="E148" s="2"/>
      <c r="F148" s="2"/>
      <c r="Q148" s="2"/>
    </row>
    <row r="149" spans="2:17" ht="13.8" x14ac:dyDescent="0.3">
      <c r="D149" s="49"/>
      <c r="E149" s="50"/>
      <c r="F149" s="49"/>
      <c r="G149" s="36"/>
      <c r="H149" s="36"/>
      <c r="Q149" s="2"/>
    </row>
    <row r="150" spans="2:17" ht="13.8" x14ac:dyDescent="0.3">
      <c r="D150" s="49"/>
      <c r="E150" s="50"/>
      <c r="F150" s="49"/>
      <c r="G150" s="36"/>
      <c r="H150" s="36"/>
      <c r="Q150" s="2"/>
    </row>
    <row r="151" spans="2:17" ht="13.8" x14ac:dyDescent="0.3">
      <c r="D151" s="49"/>
      <c r="E151" s="50"/>
      <c r="F151" s="49"/>
      <c r="G151" s="36"/>
      <c r="H151" s="36"/>
      <c r="Q151" s="2"/>
    </row>
    <row r="152" spans="2:17" ht="13.8" x14ac:dyDescent="0.3">
      <c r="D152" s="49"/>
      <c r="E152" s="50"/>
      <c r="F152" s="49"/>
      <c r="G152" s="36"/>
      <c r="H152" s="36"/>
      <c r="Q152" s="2"/>
    </row>
    <row r="153" spans="2:17" ht="13.8" x14ac:dyDescent="0.3">
      <c r="D153" s="49"/>
      <c r="E153" s="50"/>
      <c r="F153" s="49"/>
      <c r="G153" s="36"/>
      <c r="H153" s="36"/>
      <c r="Q153" s="2"/>
    </row>
    <row r="154" spans="2:17" ht="13.8" x14ac:dyDescent="0.3">
      <c r="D154" s="49"/>
      <c r="E154" s="50"/>
      <c r="F154" s="49"/>
      <c r="G154" s="36"/>
      <c r="H154" s="36"/>
      <c r="Q154" s="2"/>
    </row>
    <row r="155" spans="2:17" ht="13.8" x14ac:dyDescent="0.3">
      <c r="D155" s="49"/>
      <c r="E155" s="50"/>
      <c r="F155" s="49"/>
      <c r="G155" s="36"/>
      <c r="H155" s="36"/>
      <c r="Q155" s="2"/>
    </row>
    <row r="156" spans="2:17" x14ac:dyDescent="0.3">
      <c r="B156" s="58"/>
      <c r="C156" s="55"/>
      <c r="G156" s="58"/>
      <c r="H156" s="55"/>
      <c r="I156" s="55"/>
      <c r="J156" s="36"/>
      <c r="Q156" s="2"/>
    </row>
    <row r="157" spans="2:17" x14ac:dyDescent="0.3">
      <c r="B157" s="60"/>
      <c r="C157" s="56"/>
      <c r="G157" s="60"/>
      <c r="H157" s="55"/>
      <c r="I157" s="55"/>
      <c r="J157" s="36"/>
      <c r="Q157" s="2"/>
    </row>
    <row r="158" spans="2:17" x14ac:dyDescent="0.3">
      <c r="B158" s="59"/>
      <c r="C158" s="57"/>
      <c r="G158" s="59"/>
      <c r="H158" s="55"/>
      <c r="I158" s="55"/>
      <c r="J158" s="36"/>
      <c r="Q158" s="2"/>
    </row>
    <row r="159" spans="2:17" x14ac:dyDescent="0.3">
      <c r="B159" s="58"/>
      <c r="C159" s="55"/>
      <c r="G159" s="58"/>
      <c r="H159" s="55"/>
      <c r="I159" s="55"/>
      <c r="J159" s="36"/>
      <c r="Q159" s="2"/>
    </row>
    <row r="160" spans="2:17" ht="13.8" x14ac:dyDescent="0.3">
      <c r="D160" s="49"/>
      <c r="E160" s="50"/>
      <c r="F160" s="49"/>
      <c r="G160" s="36"/>
      <c r="H160" s="36"/>
      <c r="Q160" s="2"/>
    </row>
    <row r="161" spans="4:17" ht="13.8" x14ac:dyDescent="0.3">
      <c r="D161" s="49"/>
      <c r="E161" s="50"/>
      <c r="F161" s="49"/>
      <c r="G161" s="36"/>
      <c r="H161" s="36"/>
      <c r="Q161" s="2"/>
    </row>
    <row r="162" spans="4:17" ht="13.8" x14ac:dyDescent="0.3">
      <c r="D162" s="49"/>
      <c r="E162" s="50"/>
      <c r="F162" s="49"/>
      <c r="G162" s="36"/>
      <c r="H162" s="36"/>
      <c r="Q162" s="2"/>
    </row>
    <row r="163" spans="4:17" ht="13.8" x14ac:dyDescent="0.3">
      <c r="D163" s="49"/>
      <c r="E163" s="50"/>
      <c r="F163" s="49"/>
      <c r="G163" s="36"/>
      <c r="H163" s="36"/>
      <c r="Q163" s="2"/>
    </row>
    <row r="164" spans="4:17" ht="13.8" x14ac:dyDescent="0.3">
      <c r="D164" s="49"/>
      <c r="E164" s="50"/>
      <c r="F164" s="49"/>
      <c r="G164" s="36"/>
      <c r="H164" s="36"/>
      <c r="Q164" s="2"/>
    </row>
    <row r="165" spans="4:17" ht="13.8" x14ac:dyDescent="0.3">
      <c r="D165" s="49"/>
      <c r="E165" s="50"/>
      <c r="F165" s="49"/>
      <c r="G165" s="36"/>
      <c r="H165" s="36"/>
      <c r="Q165" s="2"/>
    </row>
    <row r="166" spans="4:17" ht="13.8" x14ac:dyDescent="0.3">
      <c r="D166" s="49"/>
      <c r="E166" s="50"/>
      <c r="F166" s="49"/>
      <c r="G166" s="36"/>
      <c r="H166" s="36"/>
      <c r="Q166" s="2"/>
    </row>
    <row r="167" spans="4:17" ht="13.8" x14ac:dyDescent="0.3">
      <c r="D167" s="49"/>
      <c r="E167" s="50"/>
      <c r="F167" s="49"/>
      <c r="G167" s="36"/>
      <c r="H167" s="36"/>
      <c r="Q167" s="2"/>
    </row>
    <row r="168" spans="4:17" ht="13.8" x14ac:dyDescent="0.3">
      <c r="D168" s="49"/>
      <c r="E168" s="50"/>
      <c r="F168" s="49"/>
      <c r="G168" s="36"/>
      <c r="H168" s="36"/>
      <c r="Q168" s="2"/>
    </row>
    <row r="169" spans="4:17" ht="13.8" x14ac:dyDescent="0.3">
      <c r="D169" s="49"/>
      <c r="E169" s="50"/>
      <c r="F169" s="49"/>
      <c r="G169" s="36"/>
      <c r="H169" s="36"/>
      <c r="Q169" s="2"/>
    </row>
    <row r="170" spans="4:17" ht="13.8" x14ac:dyDescent="0.3">
      <c r="J170" s="2" t="e">
        <f>ROUND(SUM(#REF!),0)</f>
        <v>#REF!</v>
      </c>
      <c r="Q170" s="2"/>
    </row>
    <row r="171" spans="4:17" ht="13.8" x14ac:dyDescent="0.3">
      <c r="Q171" s="2"/>
    </row>
    <row r="172" spans="4:17" ht="13.8" x14ac:dyDescent="0.3">
      <c r="Q172" s="2"/>
    </row>
    <row r="173" spans="4:17" ht="13.8" x14ac:dyDescent="0.3">
      <c r="Q173" s="2"/>
    </row>
    <row r="174" spans="4:17" ht="13.8" x14ac:dyDescent="0.3">
      <c r="Q174" s="2"/>
    </row>
    <row r="175" spans="4:17" ht="13.8" x14ac:dyDescent="0.3">
      <c r="Q175" s="2"/>
    </row>
    <row r="176" spans="4:17" ht="13.8" x14ac:dyDescent="0.3">
      <c r="Q176" s="2"/>
    </row>
    <row r="177" spans="17:17" ht="13.8" x14ac:dyDescent="0.3">
      <c r="Q177" s="2"/>
    </row>
    <row r="178" spans="17:17" ht="13.8" x14ac:dyDescent="0.3">
      <c r="Q178" s="2"/>
    </row>
    <row r="179" spans="17:17" ht="13.8" x14ac:dyDescent="0.3">
      <c r="Q179" s="2"/>
    </row>
    <row r="180" spans="17:17" ht="13.8" x14ac:dyDescent="0.3">
      <c r="Q180" s="2"/>
    </row>
    <row r="181" spans="17:17" ht="13.8" x14ac:dyDescent="0.3">
      <c r="Q181" s="2"/>
    </row>
    <row r="182" spans="17:17" ht="13.8" x14ac:dyDescent="0.3">
      <c r="Q182" s="2"/>
    </row>
    <row r="183" spans="17:17" ht="13.8" x14ac:dyDescent="0.3">
      <c r="Q183" s="2"/>
    </row>
    <row r="184" spans="17:17" ht="13.8" x14ac:dyDescent="0.3">
      <c r="Q184" s="2"/>
    </row>
    <row r="185" spans="17:17" ht="13.8" x14ac:dyDescent="0.3">
      <c r="Q185" s="2"/>
    </row>
    <row r="186" spans="17:17" ht="13.8" x14ac:dyDescent="0.3">
      <c r="Q186" s="2"/>
    </row>
    <row r="187" spans="17:17" ht="13.8" x14ac:dyDescent="0.3">
      <c r="Q187" s="2"/>
    </row>
    <row r="188" spans="17:17" ht="13.8" x14ac:dyDescent="0.3">
      <c r="Q188" s="2"/>
    </row>
    <row r="189" spans="17:17" ht="13.8" x14ac:dyDescent="0.3">
      <c r="Q189" s="2"/>
    </row>
    <row r="190" spans="17:17" ht="13.8" x14ac:dyDescent="0.3">
      <c r="Q190" s="2"/>
    </row>
    <row r="191" spans="17:17" ht="13.8" x14ac:dyDescent="0.3">
      <c r="Q191" s="2"/>
    </row>
    <row r="192" spans="17:17" ht="13.8" x14ac:dyDescent="0.3">
      <c r="Q192" s="2"/>
    </row>
    <row r="193" spans="17:17" ht="13.8" x14ac:dyDescent="0.3">
      <c r="Q193" s="2"/>
    </row>
    <row r="194" spans="17:17" ht="13.8" x14ac:dyDescent="0.3">
      <c r="Q194" s="2"/>
    </row>
    <row r="195" spans="17:17" ht="13.8" x14ac:dyDescent="0.3">
      <c r="Q195" s="2"/>
    </row>
    <row r="196" spans="17:17" ht="13.8" x14ac:dyDescent="0.3">
      <c r="Q196" s="2"/>
    </row>
    <row r="197" spans="17:17" ht="13.8" x14ac:dyDescent="0.3">
      <c r="Q197" s="2"/>
    </row>
    <row r="198" spans="17:17" ht="13.8" x14ac:dyDescent="0.3">
      <c r="Q198" s="2"/>
    </row>
    <row r="199" spans="17:17" ht="13.8" x14ac:dyDescent="0.3">
      <c r="Q199" s="2"/>
    </row>
    <row r="200" spans="17:17" ht="13.8" x14ac:dyDescent="0.3">
      <c r="Q200" s="2"/>
    </row>
    <row r="201" spans="17:17" ht="13.8" x14ac:dyDescent="0.3">
      <c r="Q201" s="2"/>
    </row>
    <row r="202" spans="17:17" ht="13.8" x14ac:dyDescent="0.3">
      <c r="Q202" s="2"/>
    </row>
    <row r="203" spans="17:17" ht="13.8" x14ac:dyDescent="0.3">
      <c r="Q203" s="2"/>
    </row>
    <row r="204" spans="17:17" ht="13.8" x14ac:dyDescent="0.3">
      <c r="Q204" s="2"/>
    </row>
    <row r="205" spans="17:17" ht="13.8" x14ac:dyDescent="0.3">
      <c r="Q205" s="2"/>
    </row>
    <row r="206" spans="17:17" ht="13.8" x14ac:dyDescent="0.3">
      <c r="Q206" s="2"/>
    </row>
    <row r="207" spans="17:17" ht="13.8" x14ac:dyDescent="0.3">
      <c r="Q207" s="2"/>
    </row>
    <row r="208" spans="17:17" ht="13.8" x14ac:dyDescent="0.3">
      <c r="Q208" s="2"/>
    </row>
    <row r="209" spans="17:17" ht="13.8" x14ac:dyDescent="0.3">
      <c r="Q209" s="2"/>
    </row>
    <row r="210" spans="17:17" ht="13.8" x14ac:dyDescent="0.3">
      <c r="Q210" s="2"/>
    </row>
    <row r="211" spans="17:17" ht="13.8" x14ac:dyDescent="0.3">
      <c r="Q211" s="2"/>
    </row>
    <row r="212" spans="17:17" ht="13.8" x14ac:dyDescent="0.3">
      <c r="Q212" s="2"/>
    </row>
    <row r="213" spans="17:17" ht="13.8" x14ac:dyDescent="0.3">
      <c r="Q213" s="2"/>
    </row>
    <row r="214" spans="17:17" ht="13.8" x14ac:dyDescent="0.3">
      <c r="Q214" s="2"/>
    </row>
    <row r="215" spans="17:17" ht="13.8" x14ac:dyDescent="0.3">
      <c r="Q215" s="2"/>
    </row>
    <row r="216" spans="17:17" ht="13.8" x14ac:dyDescent="0.3">
      <c r="Q216" s="2"/>
    </row>
    <row r="217" spans="17:17" ht="13.8" x14ac:dyDescent="0.3">
      <c r="Q217" s="2"/>
    </row>
    <row r="218" spans="17:17" ht="13.8" x14ac:dyDescent="0.3">
      <c r="Q218" s="2"/>
    </row>
    <row r="219" spans="17:17" ht="13.8" x14ac:dyDescent="0.3">
      <c r="Q219" s="2"/>
    </row>
    <row r="220" spans="17:17" ht="13.8" x14ac:dyDescent="0.3">
      <c r="Q220" s="2"/>
    </row>
    <row r="221" spans="17:17" ht="13.8" x14ac:dyDescent="0.3">
      <c r="Q221" s="2"/>
    </row>
    <row r="222" spans="17:17" ht="13.8" x14ac:dyDescent="0.3">
      <c r="Q222" s="2"/>
    </row>
    <row r="223" spans="17:17" ht="13.8" x14ac:dyDescent="0.3">
      <c r="Q223" s="2"/>
    </row>
    <row r="224" spans="17:17" ht="13.8" x14ac:dyDescent="0.3">
      <c r="Q224" s="2"/>
    </row>
    <row r="225" spans="17:17" ht="13.8" x14ac:dyDescent="0.3">
      <c r="Q225" s="2"/>
    </row>
    <row r="226" spans="17:17" ht="13.8" x14ac:dyDescent="0.3">
      <c r="Q226" s="2"/>
    </row>
    <row r="227" spans="17:17" ht="13.8" x14ac:dyDescent="0.3">
      <c r="Q227" s="2"/>
    </row>
    <row r="228" spans="17:17" ht="13.8" x14ac:dyDescent="0.3">
      <c r="Q228" s="2"/>
    </row>
    <row r="229" spans="17:17" ht="13.8" x14ac:dyDescent="0.3">
      <c r="Q229" s="2"/>
    </row>
    <row r="230" spans="17:17" ht="13.8" x14ac:dyDescent="0.3">
      <c r="Q230" s="2"/>
    </row>
    <row r="231" spans="17:17" ht="13.8" x14ac:dyDescent="0.3">
      <c r="Q231" s="2"/>
    </row>
    <row r="232" spans="17:17" ht="13.8" x14ac:dyDescent="0.3">
      <c r="Q232" s="2"/>
    </row>
    <row r="233" spans="17:17" ht="13.8" x14ac:dyDescent="0.3">
      <c r="Q233" s="2"/>
    </row>
    <row r="234" spans="17:17" ht="13.8" x14ac:dyDescent="0.3">
      <c r="Q234" s="2"/>
    </row>
    <row r="235" spans="17:17" ht="13.8" x14ac:dyDescent="0.3">
      <c r="Q235" s="2"/>
    </row>
    <row r="236" spans="17:17" ht="13.8" x14ac:dyDescent="0.3">
      <c r="Q236" s="2"/>
    </row>
    <row r="237" spans="17:17" ht="13.8" x14ac:dyDescent="0.3">
      <c r="Q237" s="2"/>
    </row>
    <row r="238" spans="17:17" ht="13.8" x14ac:dyDescent="0.3">
      <c r="Q238" s="2"/>
    </row>
    <row r="239" spans="17:17" ht="13.8" x14ac:dyDescent="0.3">
      <c r="Q239" s="2"/>
    </row>
    <row r="240" spans="17:17" ht="13.8" x14ac:dyDescent="0.3">
      <c r="Q240" s="2"/>
    </row>
    <row r="241" spans="17:17" ht="13.8" x14ac:dyDescent="0.3">
      <c r="Q241" s="2"/>
    </row>
    <row r="242" spans="17:17" ht="13.8" x14ac:dyDescent="0.3">
      <c r="Q242" s="2"/>
    </row>
    <row r="243" spans="17:17" ht="13.8" x14ac:dyDescent="0.3">
      <c r="Q243" s="2"/>
    </row>
    <row r="244" spans="17:17" ht="13.8" x14ac:dyDescent="0.3">
      <c r="Q244" s="2"/>
    </row>
    <row r="245" spans="17:17" ht="13.8" x14ac:dyDescent="0.3">
      <c r="Q245" s="2"/>
    </row>
    <row r="246" spans="17:17" ht="13.8" x14ac:dyDescent="0.3">
      <c r="Q246" s="2"/>
    </row>
    <row r="247" spans="17:17" ht="13.8" x14ac:dyDescent="0.3">
      <c r="Q247" s="2"/>
    </row>
    <row r="248" spans="17:17" ht="13.8" x14ac:dyDescent="0.3">
      <c r="Q248" s="2"/>
    </row>
    <row r="249" spans="17:17" ht="13.8" x14ac:dyDescent="0.3">
      <c r="Q249" s="2"/>
    </row>
    <row r="250" spans="17:17" ht="13.8" x14ac:dyDescent="0.3">
      <c r="Q250" s="2"/>
    </row>
    <row r="251" spans="17:17" ht="13.8" x14ac:dyDescent="0.3">
      <c r="Q251" s="2"/>
    </row>
    <row r="252" spans="17:17" ht="13.8" x14ac:dyDescent="0.3">
      <c r="Q252" s="2"/>
    </row>
    <row r="253" spans="17:17" ht="13.8" x14ac:dyDescent="0.3">
      <c r="Q253" s="2"/>
    </row>
    <row r="254" spans="17:17" ht="13.8" x14ac:dyDescent="0.3">
      <c r="Q254" s="2"/>
    </row>
    <row r="255" spans="17:17" ht="13.8" x14ac:dyDescent="0.3">
      <c r="Q255" s="2"/>
    </row>
    <row r="256" spans="17:17" ht="13.8" x14ac:dyDescent="0.3">
      <c r="Q256" s="2"/>
    </row>
    <row r="257" spans="17:17" ht="13.8" x14ac:dyDescent="0.3">
      <c r="Q257" s="2"/>
    </row>
    <row r="258" spans="17:17" ht="13.8" x14ac:dyDescent="0.3">
      <c r="Q258" s="2"/>
    </row>
    <row r="259" spans="17:17" ht="13.8" x14ac:dyDescent="0.3">
      <c r="Q259" s="2"/>
    </row>
    <row r="260" spans="17:17" ht="13.8" x14ac:dyDescent="0.3">
      <c r="Q260" s="2"/>
    </row>
    <row r="261" spans="17:17" ht="13.8" x14ac:dyDescent="0.3">
      <c r="Q261" s="2"/>
    </row>
    <row r="262" spans="17:17" ht="13.8" x14ac:dyDescent="0.3">
      <c r="Q262" s="2"/>
    </row>
    <row r="263" spans="17:17" ht="13.8" x14ac:dyDescent="0.3">
      <c r="Q263" s="2"/>
    </row>
    <row r="264" spans="17:17" ht="13.8" x14ac:dyDescent="0.3">
      <c r="Q264" s="2"/>
    </row>
    <row r="265" spans="17:17" ht="13.8" x14ac:dyDescent="0.3">
      <c r="Q265" s="2"/>
    </row>
    <row r="266" spans="17:17" ht="13.8" x14ac:dyDescent="0.3">
      <c r="Q266" s="2"/>
    </row>
    <row r="267" spans="17:17" ht="13.8" x14ac:dyDescent="0.3">
      <c r="Q267" s="2"/>
    </row>
    <row r="268" spans="17:17" ht="13.8" x14ac:dyDescent="0.3">
      <c r="Q268" s="2"/>
    </row>
    <row r="269" spans="17:17" ht="13.8" x14ac:dyDescent="0.3">
      <c r="Q269" s="2"/>
    </row>
    <row r="270" spans="17:17" ht="13.8" x14ac:dyDescent="0.3">
      <c r="Q270" s="2"/>
    </row>
    <row r="271" spans="17:17" ht="13.8" x14ac:dyDescent="0.3">
      <c r="Q271" s="2"/>
    </row>
    <row r="272" spans="17:17" ht="13.8" x14ac:dyDescent="0.3">
      <c r="Q272" s="2"/>
    </row>
    <row r="273" spans="17:17" ht="13.8" x14ac:dyDescent="0.3">
      <c r="Q273" s="2"/>
    </row>
    <row r="274" spans="17:17" ht="13.8" x14ac:dyDescent="0.3">
      <c r="Q274" s="2"/>
    </row>
    <row r="275" spans="17:17" ht="13.8" x14ac:dyDescent="0.3">
      <c r="Q275" s="2"/>
    </row>
    <row r="276" spans="17:17" ht="13.8" x14ac:dyDescent="0.3">
      <c r="Q276" s="2"/>
    </row>
    <row r="277" spans="17:17" ht="13.8" x14ac:dyDescent="0.3">
      <c r="Q277" s="2"/>
    </row>
    <row r="278" spans="17:17" ht="13.8" x14ac:dyDescent="0.3">
      <c r="Q278" s="2"/>
    </row>
    <row r="279" spans="17:17" ht="13.8" x14ac:dyDescent="0.3">
      <c r="Q279" s="2"/>
    </row>
    <row r="280" spans="17:17" ht="13.8" x14ac:dyDescent="0.3">
      <c r="Q280" s="2"/>
    </row>
    <row r="281" spans="17:17" ht="13.8" x14ac:dyDescent="0.3">
      <c r="Q281" s="2"/>
    </row>
    <row r="282" spans="17:17" ht="13.8" x14ac:dyDescent="0.3">
      <c r="Q282" s="2"/>
    </row>
    <row r="283" spans="17:17" ht="13.8" x14ac:dyDescent="0.3">
      <c r="Q283" s="2"/>
    </row>
    <row r="284" spans="17:17" ht="13.8" x14ac:dyDescent="0.3">
      <c r="Q284" s="2"/>
    </row>
    <row r="285" spans="17:17" ht="13.8" x14ac:dyDescent="0.3">
      <c r="Q285" s="2"/>
    </row>
    <row r="286" spans="17:17" ht="13.8" x14ac:dyDescent="0.3">
      <c r="Q286" s="2"/>
    </row>
    <row r="287" spans="17:17" ht="13.8" x14ac:dyDescent="0.3">
      <c r="Q287" s="2"/>
    </row>
    <row r="288" spans="17:17" ht="13.8" x14ac:dyDescent="0.3">
      <c r="Q288" s="2"/>
    </row>
    <row r="289" spans="17:17" ht="13.8" x14ac:dyDescent="0.3">
      <c r="Q289" s="2"/>
    </row>
    <row r="290" spans="17:17" ht="13.8" x14ac:dyDescent="0.3">
      <c r="Q290" s="2"/>
    </row>
    <row r="291" spans="17:17" ht="13.8" x14ac:dyDescent="0.3">
      <c r="Q291" s="2"/>
    </row>
    <row r="292" spans="17:17" ht="13.8" x14ac:dyDescent="0.3">
      <c r="Q292" s="2"/>
    </row>
    <row r="293" spans="17:17" ht="13.8" x14ac:dyDescent="0.3">
      <c r="Q293" s="2"/>
    </row>
    <row r="294" spans="17:17" ht="13.8" x14ac:dyDescent="0.3">
      <c r="Q294" s="2"/>
    </row>
    <row r="295" spans="17:17" ht="13.8" x14ac:dyDescent="0.3">
      <c r="Q295" s="2"/>
    </row>
    <row r="296" spans="17:17" ht="13.8" x14ac:dyDescent="0.3">
      <c r="Q296" s="2"/>
    </row>
    <row r="297" spans="17:17" ht="13.8" x14ac:dyDescent="0.3">
      <c r="Q297" s="2"/>
    </row>
    <row r="298" spans="17:17" ht="13.8" x14ac:dyDescent="0.3">
      <c r="Q298" s="2"/>
    </row>
    <row r="299" spans="17:17" ht="13.8" x14ac:dyDescent="0.3">
      <c r="Q299" s="2"/>
    </row>
    <row r="300" spans="17:17" ht="13.8" x14ac:dyDescent="0.3">
      <c r="Q300" s="2"/>
    </row>
    <row r="301" spans="17:17" ht="13.8" x14ac:dyDescent="0.3">
      <c r="Q301" s="2"/>
    </row>
    <row r="302" spans="17:17" ht="13.8" x14ac:dyDescent="0.3">
      <c r="Q302" s="2"/>
    </row>
    <row r="303" spans="17:17" ht="13.8" x14ac:dyDescent="0.3">
      <c r="Q303" s="2"/>
    </row>
    <row r="304" spans="17:17" ht="13.8" x14ac:dyDescent="0.3">
      <c r="Q304" s="2"/>
    </row>
    <row r="305" spans="17:17" ht="13.8" x14ac:dyDescent="0.3">
      <c r="Q305" s="2"/>
    </row>
    <row r="306" spans="17:17" ht="13.8" x14ac:dyDescent="0.3">
      <c r="Q306" s="2"/>
    </row>
    <row r="307" spans="17:17" ht="13.8" x14ac:dyDescent="0.3">
      <c r="Q307" s="2"/>
    </row>
    <row r="308" spans="17:17" ht="13.8" x14ac:dyDescent="0.3">
      <c r="Q308" s="2"/>
    </row>
    <row r="309" spans="17:17" ht="13.8" x14ac:dyDescent="0.3">
      <c r="Q309" s="2"/>
    </row>
    <row r="310" spans="17:17" ht="13.8" x14ac:dyDescent="0.3">
      <c r="Q310" s="2"/>
    </row>
    <row r="311" spans="17:17" ht="13.8" x14ac:dyDescent="0.3">
      <c r="Q311" s="2"/>
    </row>
    <row r="312" spans="17:17" ht="13.8" x14ac:dyDescent="0.3">
      <c r="Q312" s="2"/>
    </row>
    <row r="313" spans="17:17" ht="13.8" x14ac:dyDescent="0.3">
      <c r="Q313" s="2"/>
    </row>
    <row r="314" spans="17:17" ht="13.8" x14ac:dyDescent="0.3">
      <c r="Q314" s="2"/>
    </row>
    <row r="315" spans="17:17" ht="13.8" x14ac:dyDescent="0.3">
      <c r="Q315" s="2"/>
    </row>
    <row r="316" spans="17:17" ht="13.8" x14ac:dyDescent="0.3">
      <c r="Q316" s="2"/>
    </row>
    <row r="317" spans="17:17" ht="13.8" x14ac:dyDescent="0.3">
      <c r="Q317" s="2"/>
    </row>
    <row r="318" spans="17:17" ht="13.8" x14ac:dyDescent="0.3">
      <c r="Q318" s="2"/>
    </row>
    <row r="319" spans="17:17" ht="13.8" x14ac:dyDescent="0.3">
      <c r="Q319" s="2"/>
    </row>
    <row r="320" spans="17:17" ht="13.8" x14ac:dyDescent="0.3">
      <c r="Q320" s="2"/>
    </row>
    <row r="321" spans="17:17" ht="13.8" x14ac:dyDescent="0.3">
      <c r="Q321" s="2"/>
    </row>
  </sheetData>
  <mergeCells count="127">
    <mergeCell ref="B11:C11"/>
    <mergeCell ref="D11:F12"/>
    <mergeCell ref="G11:J12"/>
    <mergeCell ref="B14:J14"/>
    <mergeCell ref="C16:H16"/>
    <mergeCell ref="C17:J17"/>
    <mergeCell ref="B2:J2"/>
    <mergeCell ref="B4:J4"/>
    <mergeCell ref="B6:J6"/>
    <mergeCell ref="I7:J7"/>
    <mergeCell ref="B9:B10"/>
    <mergeCell ref="C9:F10"/>
    <mergeCell ref="G9:J10"/>
    <mergeCell ref="C24:H24"/>
    <mergeCell ref="C25:H25"/>
    <mergeCell ref="C26:H26"/>
    <mergeCell ref="C27:H27"/>
    <mergeCell ref="C18:H18"/>
    <mergeCell ref="C19:H19"/>
    <mergeCell ref="C20:H20"/>
    <mergeCell ref="C21:H21"/>
    <mergeCell ref="C22:H22"/>
    <mergeCell ref="C23:H23"/>
    <mergeCell ref="F33:G33"/>
    <mergeCell ref="H33:I33"/>
    <mergeCell ref="C40:E40"/>
    <mergeCell ref="C42:I42"/>
    <mergeCell ref="C43:I43"/>
    <mergeCell ref="B45:C45"/>
    <mergeCell ref="G45:H45"/>
    <mergeCell ref="B30:J30"/>
    <mergeCell ref="F32:G32"/>
    <mergeCell ref="H32:I32"/>
    <mergeCell ref="B54:C54"/>
    <mergeCell ref="G54:H54"/>
    <mergeCell ref="B55:C55"/>
    <mergeCell ref="G55:H55"/>
    <mergeCell ref="B56:C56"/>
    <mergeCell ref="G56:H56"/>
    <mergeCell ref="B46:C46"/>
    <mergeCell ref="G46:H46"/>
    <mergeCell ref="C50:I50"/>
    <mergeCell ref="C51:I51"/>
    <mergeCell ref="B53:C53"/>
    <mergeCell ref="G53:H53"/>
    <mergeCell ref="B65:C65"/>
    <mergeCell ref="G65:H65"/>
    <mergeCell ref="B66:C66"/>
    <mergeCell ref="G66:H66"/>
    <mergeCell ref="B67:C67"/>
    <mergeCell ref="G67:H67"/>
    <mergeCell ref="B57:C57"/>
    <mergeCell ref="G57:H57"/>
    <mergeCell ref="B58:C58"/>
    <mergeCell ref="G58:H58"/>
    <mergeCell ref="C62:I62"/>
    <mergeCell ref="C63:I63"/>
    <mergeCell ref="C74:I74"/>
    <mergeCell ref="C75:I75"/>
    <mergeCell ref="B77:C77"/>
    <mergeCell ref="G77:H77"/>
    <mergeCell ref="B78:C78"/>
    <mergeCell ref="G78:H78"/>
    <mergeCell ref="B68:C68"/>
    <mergeCell ref="G68:H68"/>
    <mergeCell ref="B69:C69"/>
    <mergeCell ref="G69:H69"/>
    <mergeCell ref="B70:C70"/>
    <mergeCell ref="G70:H70"/>
    <mergeCell ref="B82:C82"/>
    <mergeCell ref="G82:H82"/>
    <mergeCell ref="C86:I86"/>
    <mergeCell ref="C87:I87"/>
    <mergeCell ref="B89:C89"/>
    <mergeCell ref="G89:H89"/>
    <mergeCell ref="B79:C79"/>
    <mergeCell ref="G79:H79"/>
    <mergeCell ref="B80:C80"/>
    <mergeCell ref="G80:H80"/>
    <mergeCell ref="B81:C81"/>
    <mergeCell ref="G81:H81"/>
    <mergeCell ref="B93:C93"/>
    <mergeCell ref="G93:H93"/>
    <mergeCell ref="B94:C94"/>
    <mergeCell ref="G94:H94"/>
    <mergeCell ref="C98:I98"/>
    <mergeCell ref="C99:I99"/>
    <mergeCell ref="B90:C90"/>
    <mergeCell ref="G90:H90"/>
    <mergeCell ref="B91:C91"/>
    <mergeCell ref="G91:H91"/>
    <mergeCell ref="B92:C92"/>
    <mergeCell ref="G92:H92"/>
    <mergeCell ref="C107:I107"/>
    <mergeCell ref="C108:I108"/>
    <mergeCell ref="B110:C110"/>
    <mergeCell ref="G110:H110"/>
    <mergeCell ref="B111:C111"/>
    <mergeCell ref="G111:H111"/>
    <mergeCell ref="B101:C101"/>
    <mergeCell ref="G101:H101"/>
    <mergeCell ref="B102:C102"/>
    <mergeCell ref="G102:H102"/>
    <mergeCell ref="B103:C103"/>
    <mergeCell ref="G103:H103"/>
    <mergeCell ref="B125:B126"/>
    <mergeCell ref="B127:B128"/>
    <mergeCell ref="C132:I132"/>
    <mergeCell ref="C133:I133"/>
    <mergeCell ref="B135:C135"/>
    <mergeCell ref="G135:H135"/>
    <mergeCell ref="C115:I115"/>
    <mergeCell ref="C116:I116"/>
    <mergeCell ref="B118:C118"/>
    <mergeCell ref="B119:B120"/>
    <mergeCell ref="B121:B122"/>
    <mergeCell ref="B123:B124"/>
    <mergeCell ref="C142:I142"/>
    <mergeCell ref="B144:C144"/>
    <mergeCell ref="G144:H144"/>
    <mergeCell ref="B145:C145"/>
    <mergeCell ref="G145:H145"/>
    <mergeCell ref="B136:C136"/>
    <mergeCell ref="G136:H136"/>
    <mergeCell ref="B137:C137"/>
    <mergeCell ref="G137:H137"/>
    <mergeCell ref="C141:I141"/>
  </mergeCell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N41"/>
  <sheetViews>
    <sheetView topLeftCell="A10" workbookViewId="0">
      <selection activeCell="I25" sqref="I25"/>
    </sheetView>
  </sheetViews>
  <sheetFormatPr baseColWidth="10" defaultColWidth="11.44140625" defaultRowHeight="13.8" x14ac:dyDescent="0.3"/>
  <cols>
    <col min="1" max="1" width="3.33203125" style="117" customWidth="1"/>
    <col min="2" max="2" width="7.88671875" style="116" bestFit="1" customWidth="1"/>
    <col min="3" max="3" width="74.88671875" style="117" customWidth="1"/>
    <col min="4" max="4" width="16.109375" style="27" customWidth="1"/>
    <col min="5" max="5" width="6.33203125" style="118" customWidth="1"/>
    <col min="6" max="6" width="13.88671875" style="119" customWidth="1"/>
    <col min="7" max="7" width="12.44140625" style="117" customWidth="1"/>
    <col min="8" max="16384" width="11.44140625" style="117"/>
  </cols>
  <sheetData>
    <row r="2" spans="2:14" s="2" customFormat="1" ht="31.5" customHeight="1" x14ac:dyDescent="0.3">
      <c r="B2" s="498" t="s">
        <v>92</v>
      </c>
      <c r="C2" s="499"/>
      <c r="D2" s="499"/>
      <c r="E2" s="499"/>
      <c r="F2" s="500"/>
      <c r="G2" s="130"/>
    </row>
    <row r="3" spans="2:14" s="2" customFormat="1" ht="15.6" x14ac:dyDescent="0.3">
      <c r="B3" s="64"/>
      <c r="C3" s="65"/>
      <c r="D3" s="65"/>
      <c r="E3" s="66"/>
      <c r="F3" s="67"/>
      <c r="G3" s="65"/>
    </row>
    <row r="4" spans="2:14" s="2" customFormat="1" ht="15.75" customHeight="1" x14ac:dyDescent="0.3">
      <c r="B4" s="501" t="s">
        <v>171</v>
      </c>
      <c r="C4" s="502"/>
      <c r="D4" s="502"/>
      <c r="E4" s="502"/>
      <c r="F4" s="503"/>
      <c r="G4" s="130"/>
    </row>
    <row r="5" spans="2:14" s="2" customFormat="1" x14ac:dyDescent="0.3">
      <c r="B5" s="68"/>
      <c r="C5" s="69"/>
      <c r="D5" s="70"/>
      <c r="E5" s="27"/>
      <c r="F5" s="72"/>
      <c r="G5" s="71"/>
    </row>
    <row r="6" spans="2:14" s="2" customFormat="1" ht="15.75" customHeight="1" x14ac:dyDescent="0.3">
      <c r="B6" s="501" t="s">
        <v>172</v>
      </c>
      <c r="C6" s="502"/>
      <c r="D6" s="502"/>
      <c r="E6" s="502"/>
      <c r="F6" s="503"/>
      <c r="G6" s="130"/>
    </row>
    <row r="7" spans="2:14" s="2" customFormat="1" ht="14.4" x14ac:dyDescent="0.3">
      <c r="B7" s="73"/>
      <c r="C7" s="74"/>
      <c r="D7" s="76" t="s">
        <v>157</v>
      </c>
      <c r="E7" s="545">
        <v>43712</v>
      </c>
      <c r="F7" s="546"/>
    </row>
    <row r="8" spans="2:14" ht="3" customHeight="1" x14ac:dyDescent="0.3"/>
    <row r="9" spans="2:14" s="123" customFormat="1" ht="36.75" customHeight="1" x14ac:dyDescent="0.3">
      <c r="B9" s="120" t="s">
        <v>130</v>
      </c>
      <c r="C9" s="121" t="s">
        <v>118</v>
      </c>
      <c r="D9" s="121" t="s">
        <v>128</v>
      </c>
      <c r="E9" s="121" t="s">
        <v>129</v>
      </c>
      <c r="F9" s="122" t="s">
        <v>0</v>
      </c>
    </row>
    <row r="10" spans="2:14" s="123" customFormat="1" x14ac:dyDescent="0.3">
      <c r="B10" s="131" t="s">
        <v>145</v>
      </c>
      <c r="C10" s="132" t="s">
        <v>92</v>
      </c>
      <c r="D10" s="133"/>
      <c r="E10" s="133"/>
      <c r="F10" s="134"/>
    </row>
    <row r="11" spans="2:14" s="123" customFormat="1" ht="15" x14ac:dyDescent="0.3">
      <c r="B11" s="124">
        <v>1.1000000000000001</v>
      </c>
      <c r="C11" s="62" t="s">
        <v>202</v>
      </c>
      <c r="D11" s="136" t="s">
        <v>187</v>
      </c>
      <c r="E11" s="124" t="s">
        <v>204</v>
      </c>
      <c r="F11" s="125">
        <v>3261</v>
      </c>
    </row>
    <row r="12" spans="2:14" s="123" customFormat="1" ht="15" x14ac:dyDescent="0.3">
      <c r="B12" s="124">
        <v>1.2</v>
      </c>
      <c r="C12" s="62" t="s">
        <v>179</v>
      </c>
      <c r="D12" s="136" t="s">
        <v>185</v>
      </c>
      <c r="E12" s="124" t="s">
        <v>205</v>
      </c>
      <c r="F12" s="125">
        <v>25078</v>
      </c>
    </row>
    <row r="13" spans="2:14" s="123" customFormat="1" ht="15" x14ac:dyDescent="0.3">
      <c r="B13" s="124">
        <v>1.3</v>
      </c>
      <c r="C13" s="62" t="s">
        <v>152</v>
      </c>
      <c r="D13" s="136" t="s">
        <v>185</v>
      </c>
      <c r="E13" s="124" t="s">
        <v>205</v>
      </c>
      <c r="F13" s="125">
        <v>30666</v>
      </c>
    </row>
    <row r="14" spans="2:14" s="123" customFormat="1" ht="15" x14ac:dyDescent="0.3">
      <c r="B14" s="124">
        <v>1.4</v>
      </c>
      <c r="C14" s="62" t="s">
        <v>153</v>
      </c>
      <c r="D14" s="136" t="s">
        <v>187</v>
      </c>
      <c r="E14" s="124" t="s">
        <v>204</v>
      </c>
      <c r="F14" s="125">
        <v>4600</v>
      </c>
    </row>
    <row r="15" spans="2:14" s="123" customFormat="1" ht="15" x14ac:dyDescent="0.3">
      <c r="B15" s="124">
        <v>1.5</v>
      </c>
      <c r="C15" s="62" t="s">
        <v>154</v>
      </c>
      <c r="D15" s="136" t="s">
        <v>185</v>
      </c>
      <c r="E15" s="124" t="s">
        <v>205</v>
      </c>
      <c r="F15" s="125">
        <v>93336</v>
      </c>
      <c r="H15" s="623"/>
      <c r="I15" s="623"/>
      <c r="J15" s="623"/>
      <c r="K15" s="623"/>
      <c r="L15" s="623"/>
      <c r="M15" s="623"/>
      <c r="N15" s="623"/>
    </row>
    <row r="16" spans="2:14" s="123" customFormat="1" ht="27.6" x14ac:dyDescent="0.3">
      <c r="B16" s="124">
        <v>1.6</v>
      </c>
      <c r="C16" s="62" t="s">
        <v>206</v>
      </c>
      <c r="D16" s="136" t="s">
        <v>185</v>
      </c>
      <c r="E16" s="124" t="s">
        <v>205</v>
      </c>
      <c r="F16" s="125">
        <v>743871</v>
      </c>
      <c r="H16" s="623"/>
      <c r="I16" s="623"/>
      <c r="J16" s="623"/>
      <c r="K16" s="623"/>
      <c r="L16" s="623"/>
      <c r="M16" s="623"/>
      <c r="N16" s="623"/>
    </row>
    <row r="17" spans="2:9" s="123" customFormat="1" ht="15" x14ac:dyDescent="0.3">
      <c r="B17" s="124">
        <v>1.7</v>
      </c>
      <c r="C17" s="62" t="s">
        <v>155</v>
      </c>
      <c r="D17" s="136" t="s">
        <v>185</v>
      </c>
      <c r="E17" s="124" t="s">
        <v>205</v>
      </c>
      <c r="F17" s="125">
        <v>363786</v>
      </c>
      <c r="I17" s="126"/>
    </row>
    <row r="18" spans="2:9" s="123" customFormat="1" ht="27.6" x14ac:dyDescent="0.3">
      <c r="B18" s="124">
        <v>1.8</v>
      </c>
      <c r="C18" s="62" t="s">
        <v>183</v>
      </c>
      <c r="D18" s="136" t="s">
        <v>188</v>
      </c>
      <c r="E18" s="124" t="s">
        <v>48</v>
      </c>
      <c r="F18" s="125">
        <v>4919</v>
      </c>
    </row>
    <row r="19" spans="2:9" s="123" customFormat="1" ht="15" x14ac:dyDescent="0.3">
      <c r="B19" s="124">
        <v>1.9</v>
      </c>
      <c r="C19" s="62" t="s">
        <v>210</v>
      </c>
      <c r="D19" s="136" t="s">
        <v>185</v>
      </c>
      <c r="E19" s="124" t="s">
        <v>205</v>
      </c>
      <c r="F19" s="125">
        <v>553454</v>
      </c>
    </row>
    <row r="20" spans="2:9" s="123" customFormat="1" x14ac:dyDescent="0.3">
      <c r="B20" s="162">
        <v>1.1000000000000001</v>
      </c>
      <c r="C20" s="62" t="s">
        <v>203</v>
      </c>
      <c r="D20" s="84" t="s">
        <v>186</v>
      </c>
      <c r="E20" s="124" t="s">
        <v>50</v>
      </c>
      <c r="F20" s="125">
        <v>40744</v>
      </c>
    </row>
    <row r="21" spans="2:9" s="123" customFormat="1" ht="14.4" x14ac:dyDescent="0.3">
      <c r="D21" s="32"/>
    </row>
    <row r="22" spans="2:9" s="123" customFormat="1" x14ac:dyDescent="0.3">
      <c r="B22" s="131" t="s">
        <v>146</v>
      </c>
      <c r="C22" s="132" t="s">
        <v>107</v>
      </c>
      <c r="D22" s="133"/>
      <c r="E22" s="133"/>
      <c r="F22" s="134"/>
      <c r="H22" s="126"/>
    </row>
    <row r="23" spans="2:9" s="123" customFormat="1" ht="15" x14ac:dyDescent="0.3">
      <c r="B23" s="124">
        <v>2.1</v>
      </c>
      <c r="C23" s="135" t="s">
        <v>180</v>
      </c>
      <c r="D23" s="136" t="s">
        <v>185</v>
      </c>
      <c r="E23" s="124" t="s">
        <v>205</v>
      </c>
      <c r="F23" s="125">
        <v>25078</v>
      </c>
    </row>
    <row r="24" spans="2:9" s="123" customFormat="1" ht="15" x14ac:dyDescent="0.3">
      <c r="B24" s="124">
        <v>2.2000000000000002</v>
      </c>
      <c r="C24" s="135" t="s">
        <v>181</v>
      </c>
      <c r="D24" s="136" t="s">
        <v>185</v>
      </c>
      <c r="E24" s="124" t="s">
        <v>205</v>
      </c>
      <c r="F24" s="125">
        <v>396302</v>
      </c>
    </row>
    <row r="25" spans="2:9" s="123" customFormat="1" ht="27.6" x14ac:dyDescent="0.3">
      <c r="B25" s="124">
        <v>2.2999999999999998</v>
      </c>
      <c r="C25" s="135" t="s">
        <v>184</v>
      </c>
      <c r="D25" s="136" t="s">
        <v>3</v>
      </c>
      <c r="E25" s="124" t="s">
        <v>37</v>
      </c>
      <c r="F25" s="125">
        <v>1154418</v>
      </c>
      <c r="G25" s="123">
        <v>2</v>
      </c>
    </row>
    <row r="26" spans="2:9" s="123" customFormat="1" x14ac:dyDescent="0.3">
      <c r="B26" s="124">
        <v>2.4</v>
      </c>
      <c r="C26" s="138" t="s">
        <v>182</v>
      </c>
      <c r="D26" s="84" t="s">
        <v>186</v>
      </c>
      <c r="E26" s="124" t="s">
        <v>50</v>
      </c>
      <c r="F26" s="139">
        <v>1100414</v>
      </c>
      <c r="G26" s="123">
        <v>6.5</v>
      </c>
    </row>
    <row r="27" spans="2:9" s="123" customFormat="1" ht="14.4" x14ac:dyDescent="0.3">
      <c r="B27" s="127"/>
      <c r="C27" s="128"/>
      <c r="D27" s="32"/>
      <c r="E27" s="128"/>
      <c r="F27" s="129"/>
    </row>
    <row r="28" spans="2:9" s="123" customFormat="1" x14ac:dyDescent="0.3">
      <c r="B28" s="127"/>
      <c r="C28" s="128"/>
      <c r="D28" s="128"/>
      <c r="E28" s="128"/>
      <c r="F28" s="129"/>
    </row>
    <row r="29" spans="2:9" s="123" customFormat="1" x14ac:dyDescent="0.3">
      <c r="B29" s="127"/>
      <c r="C29" s="128"/>
      <c r="D29" s="128"/>
      <c r="E29" s="128"/>
      <c r="F29" s="129"/>
    </row>
    <row r="30" spans="2:9" s="123" customFormat="1" x14ac:dyDescent="0.3">
      <c r="B30" s="127"/>
      <c r="C30" s="128"/>
      <c r="D30" s="128"/>
      <c r="E30" s="128"/>
      <c r="F30" s="129"/>
    </row>
    <row r="31" spans="2:9" s="123" customFormat="1" x14ac:dyDescent="0.3">
      <c r="B31" s="127"/>
      <c r="C31" s="128"/>
      <c r="D31" s="128"/>
      <c r="E31" s="128"/>
      <c r="F31" s="129"/>
    </row>
    <row r="32" spans="2:9" s="123" customFormat="1" x14ac:dyDescent="0.3">
      <c r="B32" s="127"/>
      <c r="C32" s="128"/>
      <c r="D32" s="128"/>
      <c r="E32" s="128"/>
      <c r="F32" s="129"/>
    </row>
    <row r="33" spans="2:6" s="123" customFormat="1" ht="15" customHeight="1" x14ac:dyDescent="0.3">
      <c r="B33" s="127"/>
      <c r="C33" s="128"/>
      <c r="D33" s="621" t="s">
        <v>169</v>
      </c>
      <c r="E33" s="621"/>
      <c r="F33" s="621"/>
    </row>
    <row r="34" spans="2:6" s="123" customFormat="1" x14ac:dyDescent="0.3">
      <c r="B34" s="58" t="s">
        <v>133</v>
      </c>
      <c r="C34" s="63"/>
      <c r="D34" s="621"/>
      <c r="E34" s="621"/>
      <c r="F34" s="621"/>
    </row>
    <row r="35" spans="2:6" s="123" customFormat="1" ht="15" customHeight="1" x14ac:dyDescent="0.3">
      <c r="B35" s="60" t="s">
        <v>173</v>
      </c>
      <c r="D35" s="622" t="s">
        <v>190</v>
      </c>
      <c r="E35" s="622"/>
      <c r="F35" s="622"/>
    </row>
    <row r="36" spans="2:6" s="123" customFormat="1" x14ac:dyDescent="0.3">
      <c r="B36" s="59" t="s">
        <v>174</v>
      </c>
      <c r="D36" s="59" t="s">
        <v>137</v>
      </c>
      <c r="E36" s="54"/>
      <c r="F36" s="129"/>
    </row>
    <row r="37" spans="2:6" s="123" customFormat="1" x14ac:dyDescent="0.3">
      <c r="B37" s="58" t="s">
        <v>189</v>
      </c>
      <c r="D37" s="58" t="s">
        <v>138</v>
      </c>
      <c r="E37" s="54"/>
      <c r="F37" s="129"/>
    </row>
    <row r="38" spans="2:6" s="123" customFormat="1" x14ac:dyDescent="0.3">
      <c r="B38" s="127"/>
      <c r="C38" s="128"/>
      <c r="D38" s="128"/>
      <c r="E38" s="128"/>
      <c r="F38" s="129"/>
    </row>
    <row r="39" spans="2:6" s="123" customFormat="1" x14ac:dyDescent="0.3">
      <c r="B39" s="127"/>
      <c r="C39" s="128"/>
      <c r="D39" s="128"/>
      <c r="E39" s="128"/>
      <c r="F39" s="129"/>
    </row>
    <row r="40" spans="2:6" s="123" customFormat="1" x14ac:dyDescent="0.3">
      <c r="B40" s="127"/>
      <c r="C40" s="128"/>
      <c r="D40" s="128"/>
      <c r="E40" s="128"/>
      <c r="F40" s="129"/>
    </row>
    <row r="41" spans="2:6" s="123" customFormat="1" x14ac:dyDescent="0.3">
      <c r="B41" s="127"/>
      <c r="C41" s="128"/>
      <c r="D41" s="128"/>
      <c r="E41" s="128"/>
      <c r="F41" s="129"/>
    </row>
  </sheetData>
  <mergeCells count="7">
    <mergeCell ref="D33:F34"/>
    <mergeCell ref="D35:F35"/>
    <mergeCell ref="H15:N16"/>
    <mergeCell ref="B2:F2"/>
    <mergeCell ref="B4:F4"/>
    <mergeCell ref="B6:F6"/>
    <mergeCell ref="E7:F7"/>
  </mergeCells>
  <printOptions horizontalCentered="1"/>
  <pageMargins left="0.23622047244094491" right="0.23622047244094491" top="0.74803149606299213" bottom="0.74803149606299213" header="0.31496062992125984" footer="0.31496062992125984"/>
  <pageSetup scale="95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FF00"/>
  </sheetPr>
  <dimension ref="A2:H57"/>
  <sheetViews>
    <sheetView topLeftCell="A25" zoomScaleSheetLayoutView="100" workbookViewId="0">
      <selection activeCell="K40" sqref="K40"/>
    </sheetView>
  </sheetViews>
  <sheetFormatPr baseColWidth="10" defaultColWidth="10.88671875" defaultRowHeight="11.4" x14ac:dyDescent="0.2"/>
  <cols>
    <col min="1" max="1" width="1.44140625" style="10" customWidth="1"/>
    <col min="2" max="2" width="12.109375" style="11" customWidth="1"/>
    <col min="3" max="3" width="53.6640625" style="12" customWidth="1"/>
    <col min="4" max="4" width="22.44140625" style="11" customWidth="1"/>
    <col min="5" max="5" width="13.88671875" style="11" customWidth="1"/>
    <col min="6" max="6" width="5.109375" style="10" customWidth="1"/>
    <col min="7" max="7" width="9.88671875" style="10" bestFit="1" customWidth="1"/>
    <col min="8" max="8" width="11.33203125" style="10" bestFit="1" customWidth="1"/>
    <col min="9" max="9" width="9.6640625" style="10" bestFit="1" customWidth="1"/>
    <col min="10" max="10" width="11.44140625" style="10" bestFit="1" customWidth="1"/>
    <col min="11" max="16384" width="10.88671875" style="10"/>
  </cols>
  <sheetData>
    <row r="2" spans="1:8" s="4" customFormat="1" ht="15" x14ac:dyDescent="0.2">
      <c r="A2" s="5"/>
      <c r="B2" s="626"/>
      <c r="C2" s="629" t="s">
        <v>112</v>
      </c>
      <c r="D2" s="630"/>
      <c r="E2" s="13"/>
      <c r="F2" s="10"/>
      <c r="G2" s="10"/>
      <c r="H2" s="10"/>
    </row>
    <row r="3" spans="1:8" s="4" customFormat="1" ht="15" x14ac:dyDescent="0.2">
      <c r="A3" s="5"/>
      <c r="B3" s="627"/>
      <c r="C3" s="631"/>
      <c r="D3" s="632"/>
      <c r="E3" s="14"/>
      <c r="F3" s="10"/>
      <c r="G3" s="10"/>
      <c r="H3" s="10"/>
    </row>
    <row r="4" spans="1:8" s="4" customFormat="1" ht="15" x14ac:dyDescent="0.2">
      <c r="A4" s="5"/>
      <c r="B4" s="627"/>
      <c r="C4" s="631"/>
      <c r="D4" s="632"/>
      <c r="E4" s="14"/>
      <c r="F4" s="10"/>
      <c r="G4" s="10"/>
      <c r="H4" s="10"/>
    </row>
    <row r="5" spans="1:8" s="4" customFormat="1" ht="15" x14ac:dyDescent="0.2">
      <c r="A5" s="5"/>
      <c r="B5" s="627"/>
      <c r="C5" s="631"/>
      <c r="D5" s="632"/>
      <c r="E5" s="14"/>
      <c r="F5" s="10"/>
      <c r="G5" s="10"/>
      <c r="H5" s="10"/>
    </row>
    <row r="6" spans="1:8" s="4" customFormat="1" ht="15" x14ac:dyDescent="0.2">
      <c r="A6" s="5"/>
      <c r="B6" s="627"/>
      <c r="C6" s="631"/>
      <c r="D6" s="632"/>
      <c r="E6" s="14"/>
      <c r="F6" s="10"/>
      <c r="G6" s="10"/>
      <c r="H6" s="10"/>
    </row>
    <row r="7" spans="1:8" s="4" customFormat="1" ht="15" x14ac:dyDescent="0.2">
      <c r="A7" s="5"/>
      <c r="B7" s="628"/>
      <c r="C7" s="633"/>
      <c r="D7" s="634"/>
      <c r="E7" s="15"/>
      <c r="F7" s="10"/>
      <c r="G7" s="10"/>
      <c r="H7" s="10"/>
    </row>
    <row r="8" spans="1:8" x14ac:dyDescent="0.2">
      <c r="B8" s="635" t="s">
        <v>91</v>
      </c>
      <c r="C8" s="636"/>
      <c r="D8" s="636"/>
      <c r="E8" s="637"/>
    </row>
    <row r="9" spans="1:8" x14ac:dyDescent="0.2">
      <c r="B9" s="638"/>
      <c r="C9" s="639"/>
      <c r="D9" s="639"/>
      <c r="E9" s="640"/>
    </row>
    <row r="10" spans="1:8" ht="12" x14ac:dyDescent="0.2">
      <c r="B10" s="16" t="s">
        <v>32</v>
      </c>
      <c r="C10" s="17" t="s">
        <v>31</v>
      </c>
      <c r="D10" s="641" t="s">
        <v>17</v>
      </c>
      <c r="E10" s="641" t="s">
        <v>30</v>
      </c>
    </row>
    <row r="11" spans="1:8" ht="12" x14ac:dyDescent="0.2">
      <c r="B11" s="16" t="s">
        <v>5</v>
      </c>
      <c r="C11" s="17" t="s">
        <v>2</v>
      </c>
      <c r="D11" s="642"/>
      <c r="E11" s="642"/>
    </row>
    <row r="12" spans="1:8" x14ac:dyDescent="0.2">
      <c r="B12" s="10"/>
      <c r="C12" s="18"/>
      <c r="D12" s="10"/>
      <c r="E12" s="10"/>
    </row>
    <row r="13" spans="1:8" x14ac:dyDescent="0.2">
      <c r="B13" s="19" t="s">
        <v>6</v>
      </c>
      <c r="C13" s="20" t="e">
        <f>+#REF!</f>
        <v>#REF!</v>
      </c>
      <c r="D13" s="19" t="e">
        <f>+#REF!</f>
        <v>#REF!</v>
      </c>
      <c r="E13" s="31" t="e">
        <f>+#REF!</f>
        <v>#REF!</v>
      </c>
    </row>
    <row r="14" spans="1:8" x14ac:dyDescent="0.2">
      <c r="B14" s="19" t="s">
        <v>7</v>
      </c>
      <c r="C14" s="20" t="e">
        <f>+#REF!</f>
        <v>#REF!</v>
      </c>
      <c r="D14" s="19" t="e">
        <f>+#REF!</f>
        <v>#REF!</v>
      </c>
      <c r="E14" s="31" t="e">
        <f>+#REF!</f>
        <v>#REF!</v>
      </c>
    </row>
    <row r="15" spans="1:8" x14ac:dyDescent="0.2">
      <c r="B15" s="19" t="s">
        <v>8</v>
      </c>
      <c r="C15" s="20" t="e">
        <f>+#REF!</f>
        <v>#REF!</v>
      </c>
      <c r="D15" s="19" t="e">
        <f>+#REF!</f>
        <v>#REF!</v>
      </c>
      <c r="E15" s="31" t="e">
        <f>+#REF!</f>
        <v>#REF!</v>
      </c>
    </row>
    <row r="16" spans="1:8" x14ac:dyDescent="0.2">
      <c r="B16" s="19" t="s">
        <v>38</v>
      </c>
      <c r="C16" s="20" t="e">
        <f>+#REF!</f>
        <v>#REF!</v>
      </c>
      <c r="D16" s="19" t="e">
        <f>+#REF!</f>
        <v>#REF!</v>
      </c>
      <c r="E16" s="31" t="e">
        <f>+#REF!</f>
        <v>#REF!</v>
      </c>
    </row>
    <row r="17" spans="2:7" x14ac:dyDescent="0.2">
      <c r="B17" s="19" t="s">
        <v>9</v>
      </c>
      <c r="C17" s="20" t="e">
        <f>+#REF!</f>
        <v>#REF!</v>
      </c>
      <c r="D17" s="19" t="e">
        <f>+#REF!</f>
        <v>#REF!</v>
      </c>
      <c r="E17" s="31" t="e">
        <f>+#REF!</f>
        <v>#REF!</v>
      </c>
    </row>
    <row r="18" spans="2:7" x14ac:dyDescent="0.2">
      <c r="B18" s="19" t="s">
        <v>10</v>
      </c>
      <c r="C18" s="20" t="e">
        <f>+#REF!</f>
        <v>#REF!</v>
      </c>
      <c r="D18" s="19" t="e">
        <f>+#REF!</f>
        <v>#REF!</v>
      </c>
      <c r="E18" s="31" t="e">
        <f>+#REF!</f>
        <v>#REF!</v>
      </c>
    </row>
    <row r="19" spans="2:7" x14ac:dyDescent="0.2">
      <c r="B19" s="19" t="s">
        <v>11</v>
      </c>
      <c r="C19" s="20" t="e">
        <f>+#REF!</f>
        <v>#REF!</v>
      </c>
      <c r="D19" s="19" t="e">
        <f>+#REF!</f>
        <v>#REF!</v>
      </c>
      <c r="E19" s="31" t="e">
        <f>+#REF!</f>
        <v>#REF!</v>
      </c>
    </row>
    <row r="20" spans="2:7" x14ac:dyDescent="0.2">
      <c r="B20" s="19" t="s">
        <v>12</v>
      </c>
      <c r="C20" s="20" t="e">
        <f>+#REF!</f>
        <v>#REF!</v>
      </c>
      <c r="D20" s="9" t="e">
        <f>+#REF!</f>
        <v>#REF!</v>
      </c>
      <c r="E20" s="31" t="e">
        <f>+#REF!</f>
        <v>#REF!</v>
      </c>
      <c r="F20" s="624"/>
      <c r="G20" s="625"/>
    </row>
    <row r="21" spans="2:7" x14ac:dyDescent="0.2">
      <c r="B21" s="19" t="s">
        <v>18</v>
      </c>
      <c r="C21" s="21" t="e">
        <f>+#REF!</f>
        <v>#REF!</v>
      </c>
      <c r="D21" s="19" t="e">
        <f>+#REF!</f>
        <v>#REF!</v>
      </c>
      <c r="E21" s="31" t="e">
        <f>+#REF!</f>
        <v>#REF!</v>
      </c>
    </row>
    <row r="22" spans="2:7" x14ac:dyDescent="0.2">
      <c r="B22" s="19" t="s">
        <v>19</v>
      </c>
      <c r="C22" s="21" t="e">
        <f>+#REF!</f>
        <v>#REF!</v>
      </c>
      <c r="D22" s="19" t="e">
        <f>+#REF!</f>
        <v>#REF!</v>
      </c>
      <c r="E22" s="31" t="e">
        <f>+#REF!</f>
        <v>#REF!</v>
      </c>
    </row>
    <row r="23" spans="2:7" x14ac:dyDescent="0.2">
      <c r="B23" s="19" t="s">
        <v>20</v>
      </c>
      <c r="C23" s="21" t="e">
        <f>+#REF!</f>
        <v>#REF!</v>
      </c>
      <c r="D23" s="19" t="e">
        <f>+#REF!</f>
        <v>#REF!</v>
      </c>
      <c r="E23" s="31" t="e">
        <f>+#REF!</f>
        <v>#REF!</v>
      </c>
    </row>
    <row r="24" spans="2:7" x14ac:dyDescent="0.2">
      <c r="B24" s="19" t="s">
        <v>21</v>
      </c>
      <c r="C24" s="21" t="e">
        <f>+#REF!</f>
        <v>#REF!</v>
      </c>
      <c r="D24" s="19" t="e">
        <f>+#REF!</f>
        <v>#REF!</v>
      </c>
      <c r="E24" s="31" t="e">
        <f>+#REF!</f>
        <v>#REF!</v>
      </c>
    </row>
    <row r="25" spans="2:7" x14ac:dyDescent="0.2">
      <c r="B25" s="19" t="s">
        <v>39</v>
      </c>
      <c r="C25" s="22" t="e">
        <f>+#REF!</f>
        <v>#REF!</v>
      </c>
      <c r="D25" s="19" t="e">
        <f>+#REF!</f>
        <v>#REF!</v>
      </c>
      <c r="E25" s="31" t="e">
        <f>+#REF!</f>
        <v>#REF!</v>
      </c>
    </row>
    <row r="26" spans="2:7" x14ac:dyDescent="0.2">
      <c r="B26" s="19" t="s">
        <v>40</v>
      </c>
      <c r="C26" s="23" t="e">
        <f>#REF!</f>
        <v>#REF!</v>
      </c>
      <c r="D26" s="24" t="e">
        <f>+#REF!</f>
        <v>#REF!</v>
      </c>
      <c r="E26" s="31" t="e">
        <f>+#REF!</f>
        <v>#REF!</v>
      </c>
    </row>
    <row r="27" spans="2:7" x14ac:dyDescent="0.2">
      <c r="B27" s="19" t="s">
        <v>41</v>
      </c>
      <c r="C27" s="23" t="e">
        <f>+#REF!</f>
        <v>#REF!</v>
      </c>
      <c r="D27" s="24" t="e">
        <f>+#REF!</f>
        <v>#REF!</v>
      </c>
      <c r="E27" s="31" t="e">
        <f>+#REF!</f>
        <v>#REF!</v>
      </c>
    </row>
    <row r="28" spans="2:7" x14ac:dyDescent="0.2">
      <c r="B28" s="19" t="s">
        <v>42</v>
      </c>
      <c r="C28" s="25" t="e">
        <f>+#REF!</f>
        <v>#REF!</v>
      </c>
      <c r="D28" s="26" t="e">
        <f>+#REF!</f>
        <v>#REF!</v>
      </c>
      <c r="E28" s="31" t="e">
        <f>+#REF!</f>
        <v>#REF!</v>
      </c>
    </row>
    <row r="29" spans="2:7" x14ac:dyDescent="0.2">
      <c r="B29" s="19" t="s">
        <v>43</v>
      </c>
      <c r="C29" s="25" t="e">
        <f>+#REF!</f>
        <v>#REF!</v>
      </c>
      <c r="D29" s="19" t="e">
        <f>+#REF!</f>
        <v>#REF!</v>
      </c>
      <c r="E29" s="31" t="e">
        <f>+#REF!</f>
        <v>#REF!</v>
      </c>
    </row>
    <row r="30" spans="2:7" x14ac:dyDescent="0.2">
      <c r="B30" s="19" t="s">
        <v>44</v>
      </c>
      <c r="C30" s="25" t="e">
        <f>+#REF!</f>
        <v>#REF!</v>
      </c>
      <c r="D30" s="19" t="e">
        <f>+#REF!</f>
        <v>#REF!</v>
      </c>
      <c r="E30" s="31" t="e">
        <f>+#REF!</f>
        <v>#REF!</v>
      </c>
    </row>
    <row r="31" spans="2:7" x14ac:dyDescent="0.2">
      <c r="B31" s="19" t="s">
        <v>45</v>
      </c>
      <c r="C31" s="25" t="e">
        <f>+#REF!</f>
        <v>#REF!</v>
      </c>
      <c r="D31" s="19" t="e">
        <f>+#REF!</f>
        <v>#REF!</v>
      </c>
      <c r="E31" s="31" t="e">
        <f>+#REF!</f>
        <v>#REF!</v>
      </c>
    </row>
    <row r="32" spans="2:7" x14ac:dyDescent="0.2">
      <c r="B32" s="19" t="s">
        <v>46</v>
      </c>
      <c r="C32" s="25" t="e">
        <f>+#REF!</f>
        <v>#REF!</v>
      </c>
      <c r="D32" s="19" t="e">
        <f>+#REF!</f>
        <v>#REF!</v>
      </c>
      <c r="E32" s="31" t="e">
        <f>+#REF!</f>
        <v>#REF!</v>
      </c>
    </row>
    <row r="33" spans="2:5" x14ac:dyDescent="0.2">
      <c r="B33" s="19" t="s">
        <v>47</v>
      </c>
      <c r="C33" s="25" t="e">
        <f>+#REF!</f>
        <v>#REF!</v>
      </c>
      <c r="D33" s="19" t="e">
        <f>+#REF!</f>
        <v>#REF!</v>
      </c>
      <c r="E33" s="31" t="e">
        <f>+#REF!</f>
        <v>#REF!</v>
      </c>
    </row>
    <row r="34" spans="2:5" x14ac:dyDescent="0.2">
      <c r="B34" s="19" t="s">
        <v>89</v>
      </c>
      <c r="C34" s="20" t="e">
        <f>+#REF!</f>
        <v>#REF!</v>
      </c>
      <c r="D34" s="19" t="e">
        <f>+#REF!</f>
        <v>#REF!</v>
      </c>
      <c r="E34" s="31" t="e">
        <f>+#REF!</f>
        <v>#REF!</v>
      </c>
    </row>
    <row r="35" spans="2:5" x14ac:dyDescent="0.2">
      <c r="B35" s="19" t="s">
        <v>90</v>
      </c>
      <c r="C35" s="20" t="e">
        <f>+#REF!</f>
        <v>#REF!</v>
      </c>
      <c r="D35" s="19" t="e">
        <f>+#REF!</f>
        <v>#REF!</v>
      </c>
      <c r="E35" s="31" t="e">
        <f>+#REF!</f>
        <v>#REF!</v>
      </c>
    </row>
    <row r="36" spans="2:5" x14ac:dyDescent="0.2">
      <c r="B36" s="19" t="s">
        <v>94</v>
      </c>
      <c r="C36" s="20" t="e">
        <f>+#REF!</f>
        <v>#REF!</v>
      </c>
      <c r="D36" s="19" t="e">
        <f>+#REF!</f>
        <v>#REF!</v>
      </c>
      <c r="E36" s="31" t="e">
        <f>+#REF!</f>
        <v>#REF!</v>
      </c>
    </row>
    <row r="37" spans="2:5" x14ac:dyDescent="0.2">
      <c r="B37" s="19" t="s">
        <v>95</v>
      </c>
      <c r="C37" s="20" t="s">
        <v>96</v>
      </c>
      <c r="D37" s="19" t="s">
        <v>97</v>
      </c>
      <c r="E37" s="31">
        <v>1393.3519377</v>
      </c>
    </row>
    <row r="38" spans="2:5" x14ac:dyDescent="0.2">
      <c r="B38" s="19" t="s">
        <v>100</v>
      </c>
      <c r="C38" s="20" t="s">
        <v>101</v>
      </c>
      <c r="D38" s="38" t="s">
        <v>102</v>
      </c>
      <c r="E38" s="31">
        <v>1400</v>
      </c>
    </row>
    <row r="39" spans="2:5" x14ac:dyDescent="0.2">
      <c r="B39" s="19" t="s">
        <v>104</v>
      </c>
      <c r="C39" s="20" t="s">
        <v>103</v>
      </c>
      <c r="D39" s="38" t="s">
        <v>102</v>
      </c>
      <c r="E39" s="31">
        <v>1400</v>
      </c>
    </row>
    <row r="40" spans="2:5" x14ac:dyDescent="0.2">
      <c r="B40" s="19" t="s">
        <v>105</v>
      </c>
      <c r="C40" s="20" t="e">
        <f>+#REF!</f>
        <v>#REF!</v>
      </c>
      <c r="D40" s="38" t="e">
        <f>+#REF!</f>
        <v>#REF!</v>
      </c>
      <c r="E40" s="31" t="e">
        <f>+#REF!</f>
        <v>#REF!</v>
      </c>
    </row>
    <row r="41" spans="2:5" x14ac:dyDescent="0.2">
      <c r="B41" s="19" t="s">
        <v>141</v>
      </c>
      <c r="C41" s="61" t="s">
        <v>78</v>
      </c>
      <c r="D41" s="9" t="s">
        <v>65</v>
      </c>
      <c r="E41" s="31" t="e">
        <f>+#REF!</f>
        <v>#REF!</v>
      </c>
    </row>
    <row r="42" spans="2:5" ht="13.8" x14ac:dyDescent="0.2">
      <c r="B42" s="19" t="s">
        <v>142</v>
      </c>
      <c r="C42" s="29" t="s">
        <v>93</v>
      </c>
      <c r="D42" s="34" t="s">
        <v>143</v>
      </c>
      <c r="E42" s="35">
        <v>0.1</v>
      </c>
    </row>
    <row r="43" spans="2:5" x14ac:dyDescent="0.2">
      <c r="B43" s="19" t="s">
        <v>144</v>
      </c>
      <c r="C43" s="20" t="s">
        <v>98</v>
      </c>
      <c r="D43" s="38" t="s">
        <v>102</v>
      </c>
      <c r="E43" s="31">
        <f>+E38</f>
        <v>1400</v>
      </c>
    </row>
    <row r="53" spans="2:7" ht="14.4" x14ac:dyDescent="0.3">
      <c r="B53" s="58" t="s">
        <v>133</v>
      </c>
      <c r="C53" s="55"/>
      <c r="D53" s="58" t="s">
        <v>135</v>
      </c>
      <c r="E53" s="55"/>
      <c r="F53" s="55"/>
      <c r="G53" s="7"/>
    </row>
    <row r="54" spans="2:7" ht="14.4" x14ac:dyDescent="0.3">
      <c r="B54" s="60" t="s">
        <v>134</v>
      </c>
      <c r="C54" s="56"/>
      <c r="D54" s="60" t="s">
        <v>136</v>
      </c>
      <c r="E54" s="55"/>
      <c r="F54" s="55"/>
      <c r="G54" s="7"/>
    </row>
    <row r="55" spans="2:7" ht="14.4" x14ac:dyDescent="0.3">
      <c r="B55" s="59" t="s">
        <v>139</v>
      </c>
      <c r="C55" s="57"/>
      <c r="D55" s="59" t="s">
        <v>137</v>
      </c>
      <c r="E55" s="55"/>
      <c r="F55" s="55"/>
      <c r="G55" s="7"/>
    </row>
    <row r="56" spans="2:7" ht="14.4" x14ac:dyDescent="0.3">
      <c r="B56" s="58" t="s">
        <v>140</v>
      </c>
      <c r="C56" s="55"/>
      <c r="D56" s="58" t="s">
        <v>138</v>
      </c>
      <c r="E56" s="55"/>
      <c r="F56" s="55"/>
      <c r="G56" s="7"/>
    </row>
    <row r="57" spans="2:7" x14ac:dyDescent="0.2">
      <c r="B57" s="6"/>
      <c r="C57" s="7"/>
      <c r="D57" s="7"/>
      <c r="E57" s="8"/>
      <c r="F57" s="30"/>
      <c r="G57" s="7"/>
    </row>
  </sheetData>
  <mergeCells count="6">
    <mergeCell ref="F20:G20"/>
    <mergeCell ref="B2:B7"/>
    <mergeCell ref="C2:D7"/>
    <mergeCell ref="B8:E9"/>
    <mergeCell ref="D10:D11"/>
    <mergeCell ref="E10:E11"/>
  </mergeCells>
  <printOptions horizontalCentered="1"/>
  <pageMargins left="0.23622047244094491" right="0.23622047244094491" top="0.74803149606299213" bottom="0.74803149606299213" header="0.31496062992125984" footer="0.31496062992125984"/>
  <pageSetup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98"/>
  <sheetViews>
    <sheetView view="pageBreakPreview" topLeftCell="D82" zoomScale="80" zoomScaleNormal="100" zoomScaleSheetLayoutView="80" workbookViewId="0">
      <selection activeCell="G96" sqref="G96"/>
    </sheetView>
  </sheetViews>
  <sheetFormatPr baseColWidth="10" defaultRowHeight="15.6" x14ac:dyDescent="0.3"/>
  <cols>
    <col min="1" max="1" width="2.88671875" style="192" customWidth="1"/>
    <col min="2" max="2" width="8.109375" style="191" bestFit="1" customWidth="1"/>
    <col min="3" max="3" width="11.6640625" style="191" customWidth="1"/>
    <col min="4" max="4" width="46.33203125" style="192" customWidth="1"/>
    <col min="5" max="5" width="12.88671875" style="192" bestFit="1" customWidth="1"/>
    <col min="6" max="6" width="5.109375" style="192" customWidth="1"/>
    <col min="7" max="7" width="8" style="192" bestFit="1" customWidth="1"/>
    <col min="8" max="8" width="19.88671875" style="192" customWidth="1"/>
    <col min="9" max="9" width="15.6640625" style="192" customWidth="1"/>
    <col min="10" max="10" width="13.44140625" style="191" bestFit="1" customWidth="1"/>
    <col min="11" max="11" width="20.88671875" style="191" customWidth="1"/>
    <col min="12" max="12" width="104.44140625" style="204" customWidth="1"/>
    <col min="13" max="256" width="11.44140625" style="192"/>
    <col min="257" max="257" width="2.88671875" style="192" customWidth="1"/>
    <col min="258" max="258" width="8.109375" style="192" bestFit="1" customWidth="1"/>
    <col min="259" max="259" width="11.6640625" style="192" customWidth="1"/>
    <col min="260" max="260" width="46.33203125" style="192" customWidth="1"/>
    <col min="261" max="261" width="12.88671875" style="192" bestFit="1" customWidth="1"/>
    <col min="262" max="262" width="5.109375" style="192" customWidth="1"/>
    <col min="263" max="263" width="7.88671875" style="192" bestFit="1" customWidth="1"/>
    <col min="264" max="264" width="19.88671875" style="192" customWidth="1"/>
    <col min="265" max="265" width="15.6640625" style="192" customWidth="1"/>
    <col min="266" max="266" width="13.44140625" style="192" bestFit="1" customWidth="1"/>
    <col min="267" max="267" width="20.88671875" style="192" customWidth="1"/>
    <col min="268" max="268" width="104.44140625" style="192" customWidth="1"/>
    <col min="269" max="512" width="11.44140625" style="192"/>
    <col min="513" max="513" width="2.88671875" style="192" customWidth="1"/>
    <col min="514" max="514" width="8.109375" style="192" bestFit="1" customWidth="1"/>
    <col min="515" max="515" width="11.6640625" style="192" customWidth="1"/>
    <col min="516" max="516" width="46.33203125" style="192" customWidth="1"/>
    <col min="517" max="517" width="12.88671875" style="192" bestFit="1" customWidth="1"/>
    <col min="518" max="518" width="5.109375" style="192" customWidth="1"/>
    <col min="519" max="519" width="7.88671875" style="192" bestFit="1" customWidth="1"/>
    <col min="520" max="520" width="19.88671875" style="192" customWidth="1"/>
    <col min="521" max="521" width="15.6640625" style="192" customWidth="1"/>
    <col min="522" max="522" width="13.44140625" style="192" bestFit="1" customWidth="1"/>
    <col min="523" max="523" width="20.88671875" style="192" customWidth="1"/>
    <col min="524" max="524" width="104.44140625" style="192" customWidth="1"/>
    <col min="525" max="768" width="11.44140625" style="192"/>
    <col min="769" max="769" width="2.88671875" style="192" customWidth="1"/>
    <col min="770" max="770" width="8.109375" style="192" bestFit="1" customWidth="1"/>
    <col min="771" max="771" width="11.6640625" style="192" customWidth="1"/>
    <col min="772" max="772" width="46.33203125" style="192" customWidth="1"/>
    <col min="773" max="773" width="12.88671875" style="192" bestFit="1" customWidth="1"/>
    <col min="774" max="774" width="5.109375" style="192" customWidth="1"/>
    <col min="775" max="775" width="7.88671875" style="192" bestFit="1" customWidth="1"/>
    <col min="776" max="776" width="19.88671875" style="192" customWidth="1"/>
    <col min="777" max="777" width="15.6640625" style="192" customWidth="1"/>
    <col min="778" max="778" width="13.44140625" style="192" bestFit="1" customWidth="1"/>
    <col min="779" max="779" width="20.88671875" style="192" customWidth="1"/>
    <col min="780" max="780" width="104.44140625" style="192" customWidth="1"/>
    <col min="781" max="1024" width="11.44140625" style="192"/>
    <col min="1025" max="1025" width="2.88671875" style="192" customWidth="1"/>
    <col min="1026" max="1026" width="8.109375" style="192" bestFit="1" customWidth="1"/>
    <col min="1027" max="1027" width="11.6640625" style="192" customWidth="1"/>
    <col min="1028" max="1028" width="46.33203125" style="192" customWidth="1"/>
    <col min="1029" max="1029" width="12.88671875" style="192" bestFit="1" customWidth="1"/>
    <col min="1030" max="1030" width="5.109375" style="192" customWidth="1"/>
    <col min="1031" max="1031" width="7.88671875" style="192" bestFit="1" customWidth="1"/>
    <col min="1032" max="1032" width="19.88671875" style="192" customWidth="1"/>
    <col min="1033" max="1033" width="15.6640625" style="192" customWidth="1"/>
    <col min="1034" max="1034" width="13.44140625" style="192" bestFit="1" customWidth="1"/>
    <col min="1035" max="1035" width="20.88671875" style="192" customWidth="1"/>
    <col min="1036" max="1036" width="104.44140625" style="192" customWidth="1"/>
    <col min="1037" max="1280" width="11.44140625" style="192"/>
    <col min="1281" max="1281" width="2.88671875" style="192" customWidth="1"/>
    <col min="1282" max="1282" width="8.109375" style="192" bestFit="1" customWidth="1"/>
    <col min="1283" max="1283" width="11.6640625" style="192" customWidth="1"/>
    <col min="1284" max="1284" width="46.33203125" style="192" customWidth="1"/>
    <col min="1285" max="1285" width="12.88671875" style="192" bestFit="1" customWidth="1"/>
    <col min="1286" max="1286" width="5.109375" style="192" customWidth="1"/>
    <col min="1287" max="1287" width="7.88671875" style="192" bestFit="1" customWidth="1"/>
    <col min="1288" max="1288" width="19.88671875" style="192" customWidth="1"/>
    <col min="1289" max="1289" width="15.6640625" style="192" customWidth="1"/>
    <col min="1290" max="1290" width="13.44140625" style="192" bestFit="1" customWidth="1"/>
    <col min="1291" max="1291" width="20.88671875" style="192" customWidth="1"/>
    <col min="1292" max="1292" width="104.44140625" style="192" customWidth="1"/>
    <col min="1293" max="1536" width="11.44140625" style="192"/>
    <col min="1537" max="1537" width="2.88671875" style="192" customWidth="1"/>
    <col min="1538" max="1538" width="8.109375" style="192" bestFit="1" customWidth="1"/>
    <col min="1539" max="1539" width="11.6640625" style="192" customWidth="1"/>
    <col min="1540" max="1540" width="46.33203125" style="192" customWidth="1"/>
    <col min="1541" max="1541" width="12.88671875" style="192" bestFit="1" customWidth="1"/>
    <col min="1542" max="1542" width="5.109375" style="192" customWidth="1"/>
    <col min="1543" max="1543" width="7.88671875" style="192" bestFit="1" customWidth="1"/>
    <col min="1544" max="1544" width="19.88671875" style="192" customWidth="1"/>
    <col min="1545" max="1545" width="15.6640625" style="192" customWidth="1"/>
    <col min="1546" max="1546" width="13.44140625" style="192" bestFit="1" customWidth="1"/>
    <col min="1547" max="1547" width="20.88671875" style="192" customWidth="1"/>
    <col min="1548" max="1548" width="104.44140625" style="192" customWidth="1"/>
    <col min="1549" max="1792" width="11.44140625" style="192"/>
    <col min="1793" max="1793" width="2.88671875" style="192" customWidth="1"/>
    <col min="1794" max="1794" width="8.109375" style="192" bestFit="1" customWidth="1"/>
    <col min="1795" max="1795" width="11.6640625" style="192" customWidth="1"/>
    <col min="1796" max="1796" width="46.33203125" style="192" customWidth="1"/>
    <col min="1797" max="1797" width="12.88671875" style="192" bestFit="1" customWidth="1"/>
    <col min="1798" max="1798" width="5.109375" style="192" customWidth="1"/>
    <col min="1799" max="1799" width="7.88671875" style="192" bestFit="1" customWidth="1"/>
    <col min="1800" max="1800" width="19.88671875" style="192" customWidth="1"/>
    <col min="1801" max="1801" width="15.6640625" style="192" customWidth="1"/>
    <col min="1802" max="1802" width="13.44140625" style="192" bestFit="1" customWidth="1"/>
    <col min="1803" max="1803" width="20.88671875" style="192" customWidth="1"/>
    <col min="1804" max="1804" width="104.44140625" style="192" customWidth="1"/>
    <col min="1805" max="2048" width="11.44140625" style="192"/>
    <col min="2049" max="2049" width="2.88671875" style="192" customWidth="1"/>
    <col min="2050" max="2050" width="8.109375" style="192" bestFit="1" customWidth="1"/>
    <col min="2051" max="2051" width="11.6640625" style="192" customWidth="1"/>
    <col min="2052" max="2052" width="46.33203125" style="192" customWidth="1"/>
    <col min="2053" max="2053" width="12.88671875" style="192" bestFit="1" customWidth="1"/>
    <col min="2054" max="2054" width="5.109375" style="192" customWidth="1"/>
    <col min="2055" max="2055" width="7.88671875" style="192" bestFit="1" customWidth="1"/>
    <col min="2056" max="2056" width="19.88671875" style="192" customWidth="1"/>
    <col min="2057" max="2057" width="15.6640625" style="192" customWidth="1"/>
    <col min="2058" max="2058" width="13.44140625" style="192" bestFit="1" customWidth="1"/>
    <col min="2059" max="2059" width="20.88671875" style="192" customWidth="1"/>
    <col min="2060" max="2060" width="104.44140625" style="192" customWidth="1"/>
    <col min="2061" max="2304" width="11.44140625" style="192"/>
    <col min="2305" max="2305" width="2.88671875" style="192" customWidth="1"/>
    <col min="2306" max="2306" width="8.109375" style="192" bestFit="1" customWidth="1"/>
    <col min="2307" max="2307" width="11.6640625" style="192" customWidth="1"/>
    <col min="2308" max="2308" width="46.33203125" style="192" customWidth="1"/>
    <col min="2309" max="2309" width="12.88671875" style="192" bestFit="1" customWidth="1"/>
    <col min="2310" max="2310" width="5.109375" style="192" customWidth="1"/>
    <col min="2311" max="2311" width="7.88671875" style="192" bestFit="1" customWidth="1"/>
    <col min="2312" max="2312" width="19.88671875" style="192" customWidth="1"/>
    <col min="2313" max="2313" width="15.6640625" style="192" customWidth="1"/>
    <col min="2314" max="2314" width="13.44140625" style="192" bestFit="1" customWidth="1"/>
    <col min="2315" max="2315" width="20.88671875" style="192" customWidth="1"/>
    <col min="2316" max="2316" width="104.44140625" style="192" customWidth="1"/>
    <col min="2317" max="2560" width="11.44140625" style="192"/>
    <col min="2561" max="2561" width="2.88671875" style="192" customWidth="1"/>
    <col min="2562" max="2562" width="8.109375" style="192" bestFit="1" customWidth="1"/>
    <col min="2563" max="2563" width="11.6640625" style="192" customWidth="1"/>
    <col min="2564" max="2564" width="46.33203125" style="192" customWidth="1"/>
    <col min="2565" max="2565" width="12.88671875" style="192" bestFit="1" customWidth="1"/>
    <col min="2566" max="2566" width="5.109375" style="192" customWidth="1"/>
    <col min="2567" max="2567" width="7.88671875" style="192" bestFit="1" customWidth="1"/>
    <col min="2568" max="2568" width="19.88671875" style="192" customWidth="1"/>
    <col min="2569" max="2569" width="15.6640625" style="192" customWidth="1"/>
    <col min="2570" max="2570" width="13.44140625" style="192" bestFit="1" customWidth="1"/>
    <col min="2571" max="2571" width="20.88671875" style="192" customWidth="1"/>
    <col min="2572" max="2572" width="104.44140625" style="192" customWidth="1"/>
    <col min="2573" max="2816" width="11.44140625" style="192"/>
    <col min="2817" max="2817" width="2.88671875" style="192" customWidth="1"/>
    <col min="2818" max="2818" width="8.109375" style="192" bestFit="1" customWidth="1"/>
    <col min="2819" max="2819" width="11.6640625" style="192" customWidth="1"/>
    <col min="2820" max="2820" width="46.33203125" style="192" customWidth="1"/>
    <col min="2821" max="2821" width="12.88671875" style="192" bestFit="1" customWidth="1"/>
    <col min="2822" max="2822" width="5.109375" style="192" customWidth="1"/>
    <col min="2823" max="2823" width="7.88671875" style="192" bestFit="1" customWidth="1"/>
    <col min="2824" max="2824" width="19.88671875" style="192" customWidth="1"/>
    <col min="2825" max="2825" width="15.6640625" style="192" customWidth="1"/>
    <col min="2826" max="2826" width="13.44140625" style="192" bestFit="1" customWidth="1"/>
    <col min="2827" max="2827" width="20.88671875" style="192" customWidth="1"/>
    <col min="2828" max="2828" width="104.44140625" style="192" customWidth="1"/>
    <col min="2829" max="3072" width="11.44140625" style="192"/>
    <col min="3073" max="3073" width="2.88671875" style="192" customWidth="1"/>
    <col min="3074" max="3074" width="8.109375" style="192" bestFit="1" customWidth="1"/>
    <col min="3075" max="3075" width="11.6640625" style="192" customWidth="1"/>
    <col min="3076" max="3076" width="46.33203125" style="192" customWidth="1"/>
    <col min="3077" max="3077" width="12.88671875" style="192" bestFit="1" customWidth="1"/>
    <col min="3078" max="3078" width="5.109375" style="192" customWidth="1"/>
    <col min="3079" max="3079" width="7.88671875" style="192" bestFit="1" customWidth="1"/>
    <col min="3080" max="3080" width="19.88671875" style="192" customWidth="1"/>
    <col min="3081" max="3081" width="15.6640625" style="192" customWidth="1"/>
    <col min="3082" max="3082" width="13.44140625" style="192" bestFit="1" customWidth="1"/>
    <col min="3083" max="3083" width="20.88671875" style="192" customWidth="1"/>
    <col min="3084" max="3084" width="104.44140625" style="192" customWidth="1"/>
    <col min="3085" max="3328" width="11.44140625" style="192"/>
    <col min="3329" max="3329" width="2.88671875" style="192" customWidth="1"/>
    <col min="3330" max="3330" width="8.109375" style="192" bestFit="1" customWidth="1"/>
    <col min="3331" max="3331" width="11.6640625" style="192" customWidth="1"/>
    <col min="3332" max="3332" width="46.33203125" style="192" customWidth="1"/>
    <col min="3333" max="3333" width="12.88671875" style="192" bestFit="1" customWidth="1"/>
    <col min="3334" max="3334" width="5.109375" style="192" customWidth="1"/>
    <col min="3335" max="3335" width="7.88671875" style="192" bestFit="1" customWidth="1"/>
    <col min="3336" max="3336" width="19.88671875" style="192" customWidth="1"/>
    <col min="3337" max="3337" width="15.6640625" style="192" customWidth="1"/>
    <col min="3338" max="3338" width="13.44140625" style="192" bestFit="1" customWidth="1"/>
    <col min="3339" max="3339" width="20.88671875" style="192" customWidth="1"/>
    <col min="3340" max="3340" width="104.44140625" style="192" customWidth="1"/>
    <col min="3341" max="3584" width="11.44140625" style="192"/>
    <col min="3585" max="3585" width="2.88671875" style="192" customWidth="1"/>
    <col min="3586" max="3586" width="8.109375" style="192" bestFit="1" customWidth="1"/>
    <col min="3587" max="3587" width="11.6640625" style="192" customWidth="1"/>
    <col min="3588" max="3588" width="46.33203125" style="192" customWidth="1"/>
    <col min="3589" max="3589" width="12.88671875" style="192" bestFit="1" customWidth="1"/>
    <col min="3590" max="3590" width="5.109375" style="192" customWidth="1"/>
    <col min="3591" max="3591" width="7.88671875" style="192" bestFit="1" customWidth="1"/>
    <col min="3592" max="3592" width="19.88671875" style="192" customWidth="1"/>
    <col min="3593" max="3593" width="15.6640625" style="192" customWidth="1"/>
    <col min="3594" max="3594" width="13.44140625" style="192" bestFit="1" customWidth="1"/>
    <col min="3595" max="3595" width="20.88671875" style="192" customWidth="1"/>
    <col min="3596" max="3596" width="104.44140625" style="192" customWidth="1"/>
    <col min="3597" max="3840" width="11.44140625" style="192"/>
    <col min="3841" max="3841" width="2.88671875" style="192" customWidth="1"/>
    <col min="3842" max="3842" width="8.109375" style="192" bestFit="1" customWidth="1"/>
    <col min="3843" max="3843" width="11.6640625" style="192" customWidth="1"/>
    <col min="3844" max="3844" width="46.33203125" style="192" customWidth="1"/>
    <col min="3845" max="3845" width="12.88671875" style="192" bestFit="1" customWidth="1"/>
    <col min="3846" max="3846" width="5.109375" style="192" customWidth="1"/>
    <col min="3847" max="3847" width="7.88671875" style="192" bestFit="1" customWidth="1"/>
    <col min="3848" max="3848" width="19.88671875" style="192" customWidth="1"/>
    <col min="3849" max="3849" width="15.6640625" style="192" customWidth="1"/>
    <col min="3850" max="3850" width="13.44140625" style="192" bestFit="1" customWidth="1"/>
    <col min="3851" max="3851" width="20.88671875" style="192" customWidth="1"/>
    <col min="3852" max="3852" width="104.44140625" style="192" customWidth="1"/>
    <col min="3853" max="4096" width="11.44140625" style="192"/>
    <col min="4097" max="4097" width="2.88671875" style="192" customWidth="1"/>
    <col min="4098" max="4098" width="8.109375" style="192" bestFit="1" customWidth="1"/>
    <col min="4099" max="4099" width="11.6640625" style="192" customWidth="1"/>
    <col min="4100" max="4100" width="46.33203125" style="192" customWidth="1"/>
    <col min="4101" max="4101" width="12.88671875" style="192" bestFit="1" customWidth="1"/>
    <col min="4102" max="4102" width="5.109375" style="192" customWidth="1"/>
    <col min="4103" max="4103" width="7.88671875" style="192" bestFit="1" customWidth="1"/>
    <col min="4104" max="4104" width="19.88671875" style="192" customWidth="1"/>
    <col min="4105" max="4105" width="15.6640625" style="192" customWidth="1"/>
    <col min="4106" max="4106" width="13.44140625" style="192" bestFit="1" customWidth="1"/>
    <col min="4107" max="4107" width="20.88671875" style="192" customWidth="1"/>
    <col min="4108" max="4108" width="104.44140625" style="192" customWidth="1"/>
    <col min="4109" max="4352" width="11.44140625" style="192"/>
    <col min="4353" max="4353" width="2.88671875" style="192" customWidth="1"/>
    <col min="4354" max="4354" width="8.109375" style="192" bestFit="1" customWidth="1"/>
    <col min="4355" max="4355" width="11.6640625" style="192" customWidth="1"/>
    <col min="4356" max="4356" width="46.33203125" style="192" customWidth="1"/>
    <col min="4357" max="4357" width="12.88671875" style="192" bestFit="1" customWidth="1"/>
    <col min="4358" max="4358" width="5.109375" style="192" customWidth="1"/>
    <col min="4359" max="4359" width="7.88671875" style="192" bestFit="1" customWidth="1"/>
    <col min="4360" max="4360" width="19.88671875" style="192" customWidth="1"/>
    <col min="4361" max="4361" width="15.6640625" style="192" customWidth="1"/>
    <col min="4362" max="4362" width="13.44140625" style="192" bestFit="1" customWidth="1"/>
    <col min="4363" max="4363" width="20.88671875" style="192" customWidth="1"/>
    <col min="4364" max="4364" width="104.44140625" style="192" customWidth="1"/>
    <col min="4365" max="4608" width="11.44140625" style="192"/>
    <col min="4609" max="4609" width="2.88671875" style="192" customWidth="1"/>
    <col min="4610" max="4610" width="8.109375" style="192" bestFit="1" customWidth="1"/>
    <col min="4611" max="4611" width="11.6640625" style="192" customWidth="1"/>
    <col min="4612" max="4612" width="46.33203125" style="192" customWidth="1"/>
    <col min="4613" max="4613" width="12.88671875" style="192" bestFit="1" customWidth="1"/>
    <col min="4614" max="4614" width="5.109375" style="192" customWidth="1"/>
    <col min="4615" max="4615" width="7.88671875" style="192" bestFit="1" customWidth="1"/>
    <col min="4616" max="4616" width="19.88671875" style="192" customWidth="1"/>
    <col min="4617" max="4617" width="15.6640625" style="192" customWidth="1"/>
    <col min="4618" max="4618" width="13.44140625" style="192" bestFit="1" customWidth="1"/>
    <col min="4619" max="4619" width="20.88671875" style="192" customWidth="1"/>
    <col min="4620" max="4620" width="104.44140625" style="192" customWidth="1"/>
    <col min="4621" max="4864" width="11.44140625" style="192"/>
    <col min="4865" max="4865" width="2.88671875" style="192" customWidth="1"/>
    <col min="4866" max="4866" width="8.109375" style="192" bestFit="1" customWidth="1"/>
    <col min="4867" max="4867" width="11.6640625" style="192" customWidth="1"/>
    <col min="4868" max="4868" width="46.33203125" style="192" customWidth="1"/>
    <col min="4869" max="4869" width="12.88671875" style="192" bestFit="1" customWidth="1"/>
    <col min="4870" max="4870" width="5.109375" style="192" customWidth="1"/>
    <col min="4871" max="4871" width="7.88671875" style="192" bestFit="1" customWidth="1"/>
    <col min="4872" max="4872" width="19.88671875" style="192" customWidth="1"/>
    <col min="4873" max="4873" width="15.6640625" style="192" customWidth="1"/>
    <col min="4874" max="4874" width="13.44140625" style="192" bestFit="1" customWidth="1"/>
    <col min="4875" max="4875" width="20.88671875" style="192" customWidth="1"/>
    <col min="4876" max="4876" width="104.44140625" style="192" customWidth="1"/>
    <col min="4877" max="5120" width="11.44140625" style="192"/>
    <col min="5121" max="5121" width="2.88671875" style="192" customWidth="1"/>
    <col min="5122" max="5122" width="8.109375" style="192" bestFit="1" customWidth="1"/>
    <col min="5123" max="5123" width="11.6640625" style="192" customWidth="1"/>
    <col min="5124" max="5124" width="46.33203125" style="192" customWidth="1"/>
    <col min="5125" max="5125" width="12.88671875" style="192" bestFit="1" customWidth="1"/>
    <col min="5126" max="5126" width="5.109375" style="192" customWidth="1"/>
    <col min="5127" max="5127" width="7.88671875" style="192" bestFit="1" customWidth="1"/>
    <col min="5128" max="5128" width="19.88671875" style="192" customWidth="1"/>
    <col min="5129" max="5129" width="15.6640625" style="192" customWidth="1"/>
    <col min="5130" max="5130" width="13.44140625" style="192" bestFit="1" customWidth="1"/>
    <col min="5131" max="5131" width="20.88671875" style="192" customWidth="1"/>
    <col min="5132" max="5132" width="104.44140625" style="192" customWidth="1"/>
    <col min="5133" max="5376" width="11.44140625" style="192"/>
    <col min="5377" max="5377" width="2.88671875" style="192" customWidth="1"/>
    <col min="5378" max="5378" width="8.109375" style="192" bestFit="1" customWidth="1"/>
    <col min="5379" max="5379" width="11.6640625" style="192" customWidth="1"/>
    <col min="5380" max="5380" width="46.33203125" style="192" customWidth="1"/>
    <col min="5381" max="5381" width="12.88671875" style="192" bestFit="1" customWidth="1"/>
    <col min="5382" max="5382" width="5.109375" style="192" customWidth="1"/>
    <col min="5383" max="5383" width="7.88671875" style="192" bestFit="1" customWidth="1"/>
    <col min="5384" max="5384" width="19.88671875" style="192" customWidth="1"/>
    <col min="5385" max="5385" width="15.6640625" style="192" customWidth="1"/>
    <col min="5386" max="5386" width="13.44140625" style="192" bestFit="1" customWidth="1"/>
    <col min="5387" max="5387" width="20.88671875" style="192" customWidth="1"/>
    <col min="5388" max="5388" width="104.44140625" style="192" customWidth="1"/>
    <col min="5389" max="5632" width="11.44140625" style="192"/>
    <col min="5633" max="5633" width="2.88671875" style="192" customWidth="1"/>
    <col min="5634" max="5634" width="8.109375" style="192" bestFit="1" customWidth="1"/>
    <col min="5635" max="5635" width="11.6640625" style="192" customWidth="1"/>
    <col min="5636" max="5636" width="46.33203125" style="192" customWidth="1"/>
    <col min="5637" max="5637" width="12.88671875" style="192" bestFit="1" customWidth="1"/>
    <col min="5638" max="5638" width="5.109375" style="192" customWidth="1"/>
    <col min="5639" max="5639" width="7.88671875" style="192" bestFit="1" customWidth="1"/>
    <col min="5640" max="5640" width="19.88671875" style="192" customWidth="1"/>
    <col min="5641" max="5641" width="15.6640625" style="192" customWidth="1"/>
    <col min="5642" max="5642" width="13.44140625" style="192" bestFit="1" customWidth="1"/>
    <col min="5643" max="5643" width="20.88671875" style="192" customWidth="1"/>
    <col min="5644" max="5644" width="104.44140625" style="192" customWidth="1"/>
    <col min="5645" max="5888" width="11.44140625" style="192"/>
    <col min="5889" max="5889" width="2.88671875" style="192" customWidth="1"/>
    <col min="5890" max="5890" width="8.109375" style="192" bestFit="1" customWidth="1"/>
    <col min="5891" max="5891" width="11.6640625" style="192" customWidth="1"/>
    <col min="5892" max="5892" width="46.33203125" style="192" customWidth="1"/>
    <col min="5893" max="5893" width="12.88671875" style="192" bestFit="1" customWidth="1"/>
    <col min="5894" max="5894" width="5.109375" style="192" customWidth="1"/>
    <col min="5895" max="5895" width="7.88671875" style="192" bestFit="1" customWidth="1"/>
    <col min="5896" max="5896" width="19.88671875" style="192" customWidth="1"/>
    <col min="5897" max="5897" width="15.6640625" style="192" customWidth="1"/>
    <col min="5898" max="5898" width="13.44140625" style="192" bestFit="1" customWidth="1"/>
    <col min="5899" max="5899" width="20.88671875" style="192" customWidth="1"/>
    <col min="5900" max="5900" width="104.44140625" style="192" customWidth="1"/>
    <col min="5901" max="6144" width="11.44140625" style="192"/>
    <col min="6145" max="6145" width="2.88671875" style="192" customWidth="1"/>
    <col min="6146" max="6146" width="8.109375" style="192" bestFit="1" customWidth="1"/>
    <col min="6147" max="6147" width="11.6640625" style="192" customWidth="1"/>
    <col min="6148" max="6148" width="46.33203125" style="192" customWidth="1"/>
    <col min="6149" max="6149" width="12.88671875" style="192" bestFit="1" customWidth="1"/>
    <col min="6150" max="6150" width="5.109375" style="192" customWidth="1"/>
    <col min="6151" max="6151" width="7.88671875" style="192" bestFit="1" customWidth="1"/>
    <col min="6152" max="6152" width="19.88671875" style="192" customWidth="1"/>
    <col min="6153" max="6153" width="15.6640625" style="192" customWidth="1"/>
    <col min="6154" max="6154" width="13.44140625" style="192" bestFit="1" customWidth="1"/>
    <col min="6155" max="6155" width="20.88671875" style="192" customWidth="1"/>
    <col min="6156" max="6156" width="104.44140625" style="192" customWidth="1"/>
    <col min="6157" max="6400" width="11.44140625" style="192"/>
    <col min="6401" max="6401" width="2.88671875" style="192" customWidth="1"/>
    <col min="6402" max="6402" width="8.109375" style="192" bestFit="1" customWidth="1"/>
    <col min="6403" max="6403" width="11.6640625" style="192" customWidth="1"/>
    <col min="6404" max="6404" width="46.33203125" style="192" customWidth="1"/>
    <col min="6405" max="6405" width="12.88671875" style="192" bestFit="1" customWidth="1"/>
    <col min="6406" max="6406" width="5.109375" style="192" customWidth="1"/>
    <col min="6407" max="6407" width="7.88671875" style="192" bestFit="1" customWidth="1"/>
    <col min="6408" max="6408" width="19.88671875" style="192" customWidth="1"/>
    <col min="6409" max="6409" width="15.6640625" style="192" customWidth="1"/>
    <col min="6410" max="6410" width="13.44140625" style="192" bestFit="1" customWidth="1"/>
    <col min="6411" max="6411" width="20.88671875" style="192" customWidth="1"/>
    <col min="6412" max="6412" width="104.44140625" style="192" customWidth="1"/>
    <col min="6413" max="6656" width="11.44140625" style="192"/>
    <col min="6657" max="6657" width="2.88671875" style="192" customWidth="1"/>
    <col min="6658" max="6658" width="8.109375" style="192" bestFit="1" customWidth="1"/>
    <col min="6659" max="6659" width="11.6640625" style="192" customWidth="1"/>
    <col min="6660" max="6660" width="46.33203125" style="192" customWidth="1"/>
    <col min="6661" max="6661" width="12.88671875" style="192" bestFit="1" customWidth="1"/>
    <col min="6662" max="6662" width="5.109375" style="192" customWidth="1"/>
    <col min="6663" max="6663" width="7.88671875" style="192" bestFit="1" customWidth="1"/>
    <col min="6664" max="6664" width="19.88671875" style="192" customWidth="1"/>
    <col min="6665" max="6665" width="15.6640625" style="192" customWidth="1"/>
    <col min="6666" max="6666" width="13.44140625" style="192" bestFit="1" customWidth="1"/>
    <col min="6667" max="6667" width="20.88671875" style="192" customWidth="1"/>
    <col min="6668" max="6668" width="104.44140625" style="192" customWidth="1"/>
    <col min="6669" max="6912" width="11.44140625" style="192"/>
    <col min="6913" max="6913" width="2.88671875" style="192" customWidth="1"/>
    <col min="6914" max="6914" width="8.109375" style="192" bestFit="1" customWidth="1"/>
    <col min="6915" max="6915" width="11.6640625" style="192" customWidth="1"/>
    <col min="6916" max="6916" width="46.33203125" style="192" customWidth="1"/>
    <col min="6917" max="6917" width="12.88671875" style="192" bestFit="1" customWidth="1"/>
    <col min="6918" max="6918" width="5.109375" style="192" customWidth="1"/>
    <col min="6919" max="6919" width="7.88671875" style="192" bestFit="1" customWidth="1"/>
    <col min="6920" max="6920" width="19.88671875" style="192" customWidth="1"/>
    <col min="6921" max="6921" width="15.6640625" style="192" customWidth="1"/>
    <col min="6922" max="6922" width="13.44140625" style="192" bestFit="1" customWidth="1"/>
    <col min="6923" max="6923" width="20.88671875" style="192" customWidth="1"/>
    <col min="6924" max="6924" width="104.44140625" style="192" customWidth="1"/>
    <col min="6925" max="7168" width="11.44140625" style="192"/>
    <col min="7169" max="7169" width="2.88671875" style="192" customWidth="1"/>
    <col min="7170" max="7170" width="8.109375" style="192" bestFit="1" customWidth="1"/>
    <col min="7171" max="7171" width="11.6640625" style="192" customWidth="1"/>
    <col min="7172" max="7172" width="46.33203125" style="192" customWidth="1"/>
    <col min="7173" max="7173" width="12.88671875" style="192" bestFit="1" customWidth="1"/>
    <col min="7174" max="7174" width="5.109375" style="192" customWidth="1"/>
    <col min="7175" max="7175" width="7.88671875" style="192" bestFit="1" customWidth="1"/>
    <col min="7176" max="7176" width="19.88671875" style="192" customWidth="1"/>
    <col min="7177" max="7177" width="15.6640625" style="192" customWidth="1"/>
    <col min="7178" max="7178" width="13.44140625" style="192" bestFit="1" customWidth="1"/>
    <col min="7179" max="7179" width="20.88671875" style="192" customWidth="1"/>
    <col min="7180" max="7180" width="104.44140625" style="192" customWidth="1"/>
    <col min="7181" max="7424" width="11.44140625" style="192"/>
    <col min="7425" max="7425" width="2.88671875" style="192" customWidth="1"/>
    <col min="7426" max="7426" width="8.109375" style="192" bestFit="1" customWidth="1"/>
    <col min="7427" max="7427" width="11.6640625" style="192" customWidth="1"/>
    <col min="7428" max="7428" width="46.33203125" style="192" customWidth="1"/>
    <col min="7429" max="7429" width="12.88671875" style="192" bestFit="1" customWidth="1"/>
    <col min="7430" max="7430" width="5.109375" style="192" customWidth="1"/>
    <col min="7431" max="7431" width="7.88671875" style="192" bestFit="1" customWidth="1"/>
    <col min="7432" max="7432" width="19.88671875" style="192" customWidth="1"/>
    <col min="7433" max="7433" width="15.6640625" style="192" customWidth="1"/>
    <col min="7434" max="7434" width="13.44140625" style="192" bestFit="1" customWidth="1"/>
    <col min="7435" max="7435" width="20.88671875" style="192" customWidth="1"/>
    <col min="7436" max="7436" width="104.44140625" style="192" customWidth="1"/>
    <col min="7437" max="7680" width="11.44140625" style="192"/>
    <col min="7681" max="7681" width="2.88671875" style="192" customWidth="1"/>
    <col min="7682" max="7682" width="8.109375" style="192" bestFit="1" customWidth="1"/>
    <col min="7683" max="7683" width="11.6640625" style="192" customWidth="1"/>
    <col min="7684" max="7684" width="46.33203125" style="192" customWidth="1"/>
    <col min="7685" max="7685" width="12.88671875" style="192" bestFit="1" customWidth="1"/>
    <col min="7686" max="7686" width="5.109375" style="192" customWidth="1"/>
    <col min="7687" max="7687" width="7.88671875" style="192" bestFit="1" customWidth="1"/>
    <col min="7688" max="7688" width="19.88671875" style="192" customWidth="1"/>
    <col min="7689" max="7689" width="15.6640625" style="192" customWidth="1"/>
    <col min="7690" max="7690" width="13.44140625" style="192" bestFit="1" customWidth="1"/>
    <col min="7691" max="7691" width="20.88671875" style="192" customWidth="1"/>
    <col min="7692" max="7692" width="104.44140625" style="192" customWidth="1"/>
    <col min="7693" max="7936" width="11.44140625" style="192"/>
    <col min="7937" max="7937" width="2.88671875" style="192" customWidth="1"/>
    <col min="7938" max="7938" width="8.109375" style="192" bestFit="1" customWidth="1"/>
    <col min="7939" max="7939" width="11.6640625" style="192" customWidth="1"/>
    <col min="7940" max="7940" width="46.33203125" style="192" customWidth="1"/>
    <col min="7941" max="7941" width="12.88671875" style="192" bestFit="1" customWidth="1"/>
    <col min="7942" max="7942" width="5.109375" style="192" customWidth="1"/>
    <col min="7943" max="7943" width="7.88671875" style="192" bestFit="1" customWidth="1"/>
    <col min="7944" max="7944" width="19.88671875" style="192" customWidth="1"/>
    <col min="7945" max="7945" width="15.6640625" style="192" customWidth="1"/>
    <col min="7946" max="7946" width="13.44140625" style="192" bestFit="1" customWidth="1"/>
    <col min="7947" max="7947" width="20.88671875" style="192" customWidth="1"/>
    <col min="7948" max="7948" width="104.44140625" style="192" customWidth="1"/>
    <col min="7949" max="8192" width="11.44140625" style="192"/>
    <col min="8193" max="8193" width="2.88671875" style="192" customWidth="1"/>
    <col min="8194" max="8194" width="8.109375" style="192" bestFit="1" customWidth="1"/>
    <col min="8195" max="8195" width="11.6640625" style="192" customWidth="1"/>
    <col min="8196" max="8196" width="46.33203125" style="192" customWidth="1"/>
    <col min="8197" max="8197" width="12.88671875" style="192" bestFit="1" customWidth="1"/>
    <col min="8198" max="8198" width="5.109375" style="192" customWidth="1"/>
    <col min="8199" max="8199" width="7.88671875" style="192" bestFit="1" customWidth="1"/>
    <col min="8200" max="8200" width="19.88671875" style="192" customWidth="1"/>
    <col min="8201" max="8201" width="15.6640625" style="192" customWidth="1"/>
    <col min="8202" max="8202" width="13.44140625" style="192" bestFit="1" customWidth="1"/>
    <col min="8203" max="8203" width="20.88671875" style="192" customWidth="1"/>
    <col min="8204" max="8204" width="104.44140625" style="192" customWidth="1"/>
    <col min="8205" max="8448" width="11.44140625" style="192"/>
    <col min="8449" max="8449" width="2.88671875" style="192" customWidth="1"/>
    <col min="8450" max="8450" width="8.109375" style="192" bestFit="1" customWidth="1"/>
    <col min="8451" max="8451" width="11.6640625" style="192" customWidth="1"/>
    <col min="8452" max="8452" width="46.33203125" style="192" customWidth="1"/>
    <col min="8453" max="8453" width="12.88671875" style="192" bestFit="1" customWidth="1"/>
    <col min="8454" max="8454" width="5.109375" style="192" customWidth="1"/>
    <col min="8455" max="8455" width="7.88671875" style="192" bestFit="1" customWidth="1"/>
    <col min="8456" max="8456" width="19.88671875" style="192" customWidth="1"/>
    <col min="8457" max="8457" width="15.6640625" style="192" customWidth="1"/>
    <col min="8458" max="8458" width="13.44140625" style="192" bestFit="1" customWidth="1"/>
    <col min="8459" max="8459" width="20.88671875" style="192" customWidth="1"/>
    <col min="8460" max="8460" width="104.44140625" style="192" customWidth="1"/>
    <col min="8461" max="8704" width="11.44140625" style="192"/>
    <col min="8705" max="8705" width="2.88671875" style="192" customWidth="1"/>
    <col min="8706" max="8706" width="8.109375" style="192" bestFit="1" customWidth="1"/>
    <col min="8707" max="8707" width="11.6640625" style="192" customWidth="1"/>
    <col min="8708" max="8708" width="46.33203125" style="192" customWidth="1"/>
    <col min="8709" max="8709" width="12.88671875" style="192" bestFit="1" customWidth="1"/>
    <col min="8710" max="8710" width="5.109375" style="192" customWidth="1"/>
    <col min="8711" max="8711" width="7.88671875" style="192" bestFit="1" customWidth="1"/>
    <col min="8712" max="8712" width="19.88671875" style="192" customWidth="1"/>
    <col min="8713" max="8713" width="15.6640625" style="192" customWidth="1"/>
    <col min="8714" max="8714" width="13.44140625" style="192" bestFit="1" customWidth="1"/>
    <col min="8715" max="8715" width="20.88671875" style="192" customWidth="1"/>
    <col min="8716" max="8716" width="104.44140625" style="192" customWidth="1"/>
    <col min="8717" max="8960" width="11.44140625" style="192"/>
    <col min="8961" max="8961" width="2.88671875" style="192" customWidth="1"/>
    <col min="8962" max="8962" width="8.109375" style="192" bestFit="1" customWidth="1"/>
    <col min="8963" max="8963" width="11.6640625" style="192" customWidth="1"/>
    <col min="8964" max="8964" width="46.33203125" style="192" customWidth="1"/>
    <col min="8965" max="8965" width="12.88671875" style="192" bestFit="1" customWidth="1"/>
    <col min="8966" max="8966" width="5.109375" style="192" customWidth="1"/>
    <col min="8967" max="8967" width="7.88671875" style="192" bestFit="1" customWidth="1"/>
    <col min="8968" max="8968" width="19.88671875" style="192" customWidth="1"/>
    <col min="8969" max="8969" width="15.6640625" style="192" customWidth="1"/>
    <col min="8970" max="8970" width="13.44140625" style="192" bestFit="1" customWidth="1"/>
    <col min="8971" max="8971" width="20.88671875" style="192" customWidth="1"/>
    <col min="8972" max="8972" width="104.44140625" style="192" customWidth="1"/>
    <col min="8973" max="9216" width="11.44140625" style="192"/>
    <col min="9217" max="9217" width="2.88671875" style="192" customWidth="1"/>
    <col min="9218" max="9218" width="8.109375" style="192" bestFit="1" customWidth="1"/>
    <col min="9219" max="9219" width="11.6640625" style="192" customWidth="1"/>
    <col min="9220" max="9220" width="46.33203125" style="192" customWidth="1"/>
    <col min="9221" max="9221" width="12.88671875" style="192" bestFit="1" customWidth="1"/>
    <col min="9222" max="9222" width="5.109375" style="192" customWidth="1"/>
    <col min="9223" max="9223" width="7.88671875" style="192" bestFit="1" customWidth="1"/>
    <col min="9224" max="9224" width="19.88671875" style="192" customWidth="1"/>
    <col min="9225" max="9225" width="15.6640625" style="192" customWidth="1"/>
    <col min="9226" max="9226" width="13.44140625" style="192" bestFit="1" customWidth="1"/>
    <col min="9227" max="9227" width="20.88671875" style="192" customWidth="1"/>
    <col min="9228" max="9228" width="104.44140625" style="192" customWidth="1"/>
    <col min="9229" max="9472" width="11.44140625" style="192"/>
    <col min="9473" max="9473" width="2.88671875" style="192" customWidth="1"/>
    <col min="9474" max="9474" width="8.109375" style="192" bestFit="1" customWidth="1"/>
    <col min="9475" max="9475" width="11.6640625" style="192" customWidth="1"/>
    <col min="9476" max="9476" width="46.33203125" style="192" customWidth="1"/>
    <col min="9477" max="9477" width="12.88671875" style="192" bestFit="1" customWidth="1"/>
    <col min="9478" max="9478" width="5.109375" style="192" customWidth="1"/>
    <col min="9479" max="9479" width="7.88671875" style="192" bestFit="1" customWidth="1"/>
    <col min="9480" max="9480" width="19.88671875" style="192" customWidth="1"/>
    <col min="9481" max="9481" width="15.6640625" style="192" customWidth="1"/>
    <col min="9482" max="9482" width="13.44140625" style="192" bestFit="1" customWidth="1"/>
    <col min="9483" max="9483" width="20.88671875" style="192" customWidth="1"/>
    <col min="9484" max="9484" width="104.44140625" style="192" customWidth="1"/>
    <col min="9485" max="9728" width="11.44140625" style="192"/>
    <col min="9729" max="9729" width="2.88671875" style="192" customWidth="1"/>
    <col min="9730" max="9730" width="8.109375" style="192" bestFit="1" customWidth="1"/>
    <col min="9731" max="9731" width="11.6640625" style="192" customWidth="1"/>
    <col min="9732" max="9732" width="46.33203125" style="192" customWidth="1"/>
    <col min="9733" max="9733" width="12.88671875" style="192" bestFit="1" customWidth="1"/>
    <col min="9734" max="9734" width="5.109375" style="192" customWidth="1"/>
    <col min="9735" max="9735" width="7.88671875" style="192" bestFit="1" customWidth="1"/>
    <col min="9736" max="9736" width="19.88671875" style="192" customWidth="1"/>
    <col min="9737" max="9737" width="15.6640625" style="192" customWidth="1"/>
    <col min="9738" max="9738" width="13.44140625" style="192" bestFit="1" customWidth="1"/>
    <col min="9739" max="9739" width="20.88671875" style="192" customWidth="1"/>
    <col min="9740" max="9740" width="104.44140625" style="192" customWidth="1"/>
    <col min="9741" max="9984" width="11.44140625" style="192"/>
    <col min="9985" max="9985" width="2.88671875" style="192" customWidth="1"/>
    <col min="9986" max="9986" width="8.109375" style="192" bestFit="1" customWidth="1"/>
    <col min="9987" max="9987" width="11.6640625" style="192" customWidth="1"/>
    <col min="9988" max="9988" width="46.33203125" style="192" customWidth="1"/>
    <col min="9989" max="9989" width="12.88671875" style="192" bestFit="1" customWidth="1"/>
    <col min="9990" max="9990" width="5.109375" style="192" customWidth="1"/>
    <col min="9991" max="9991" width="7.88671875" style="192" bestFit="1" customWidth="1"/>
    <col min="9992" max="9992" width="19.88671875" style="192" customWidth="1"/>
    <col min="9993" max="9993" width="15.6640625" style="192" customWidth="1"/>
    <col min="9994" max="9994" width="13.44140625" style="192" bestFit="1" customWidth="1"/>
    <col min="9995" max="9995" width="20.88671875" style="192" customWidth="1"/>
    <col min="9996" max="9996" width="104.44140625" style="192" customWidth="1"/>
    <col min="9997" max="10240" width="11.44140625" style="192"/>
    <col min="10241" max="10241" width="2.88671875" style="192" customWidth="1"/>
    <col min="10242" max="10242" width="8.109375" style="192" bestFit="1" customWidth="1"/>
    <col min="10243" max="10243" width="11.6640625" style="192" customWidth="1"/>
    <col min="10244" max="10244" width="46.33203125" style="192" customWidth="1"/>
    <col min="10245" max="10245" width="12.88671875" style="192" bestFit="1" customWidth="1"/>
    <col min="10246" max="10246" width="5.109375" style="192" customWidth="1"/>
    <col min="10247" max="10247" width="7.88671875" style="192" bestFit="1" customWidth="1"/>
    <col min="10248" max="10248" width="19.88671875" style="192" customWidth="1"/>
    <col min="10249" max="10249" width="15.6640625" style="192" customWidth="1"/>
    <col min="10250" max="10250" width="13.44140625" style="192" bestFit="1" customWidth="1"/>
    <col min="10251" max="10251" width="20.88671875" style="192" customWidth="1"/>
    <col min="10252" max="10252" width="104.44140625" style="192" customWidth="1"/>
    <col min="10253" max="10496" width="11.44140625" style="192"/>
    <col min="10497" max="10497" width="2.88671875" style="192" customWidth="1"/>
    <col min="10498" max="10498" width="8.109375" style="192" bestFit="1" customWidth="1"/>
    <col min="10499" max="10499" width="11.6640625" style="192" customWidth="1"/>
    <col min="10500" max="10500" width="46.33203125" style="192" customWidth="1"/>
    <col min="10501" max="10501" width="12.88671875" style="192" bestFit="1" customWidth="1"/>
    <col min="10502" max="10502" width="5.109375" style="192" customWidth="1"/>
    <col min="10503" max="10503" width="7.88671875" style="192" bestFit="1" customWidth="1"/>
    <col min="10504" max="10504" width="19.88671875" style="192" customWidth="1"/>
    <col min="10505" max="10505" width="15.6640625" style="192" customWidth="1"/>
    <col min="10506" max="10506" width="13.44140625" style="192" bestFit="1" customWidth="1"/>
    <col min="10507" max="10507" width="20.88671875" style="192" customWidth="1"/>
    <col min="10508" max="10508" width="104.44140625" style="192" customWidth="1"/>
    <col min="10509" max="10752" width="11.44140625" style="192"/>
    <col min="10753" max="10753" width="2.88671875" style="192" customWidth="1"/>
    <col min="10754" max="10754" width="8.109375" style="192" bestFit="1" customWidth="1"/>
    <col min="10755" max="10755" width="11.6640625" style="192" customWidth="1"/>
    <col min="10756" max="10756" width="46.33203125" style="192" customWidth="1"/>
    <col min="10757" max="10757" width="12.88671875" style="192" bestFit="1" customWidth="1"/>
    <col min="10758" max="10758" width="5.109375" style="192" customWidth="1"/>
    <col min="10759" max="10759" width="7.88671875" style="192" bestFit="1" customWidth="1"/>
    <col min="10760" max="10760" width="19.88671875" style="192" customWidth="1"/>
    <col min="10761" max="10761" width="15.6640625" style="192" customWidth="1"/>
    <col min="10762" max="10762" width="13.44140625" style="192" bestFit="1" customWidth="1"/>
    <col min="10763" max="10763" width="20.88671875" style="192" customWidth="1"/>
    <col min="10764" max="10764" width="104.44140625" style="192" customWidth="1"/>
    <col min="10765" max="11008" width="11.44140625" style="192"/>
    <col min="11009" max="11009" width="2.88671875" style="192" customWidth="1"/>
    <col min="11010" max="11010" width="8.109375" style="192" bestFit="1" customWidth="1"/>
    <col min="11011" max="11011" width="11.6640625" style="192" customWidth="1"/>
    <col min="11012" max="11012" width="46.33203125" style="192" customWidth="1"/>
    <col min="11013" max="11013" width="12.88671875" style="192" bestFit="1" customWidth="1"/>
    <col min="11014" max="11014" width="5.109375" style="192" customWidth="1"/>
    <col min="11015" max="11015" width="7.88671875" style="192" bestFit="1" customWidth="1"/>
    <col min="11016" max="11016" width="19.88671875" style="192" customWidth="1"/>
    <col min="11017" max="11017" width="15.6640625" style="192" customWidth="1"/>
    <col min="11018" max="11018" width="13.44140625" style="192" bestFit="1" customWidth="1"/>
    <col min="11019" max="11019" width="20.88671875" style="192" customWidth="1"/>
    <col min="11020" max="11020" width="104.44140625" style="192" customWidth="1"/>
    <col min="11021" max="11264" width="11.44140625" style="192"/>
    <col min="11265" max="11265" width="2.88671875" style="192" customWidth="1"/>
    <col min="11266" max="11266" width="8.109375" style="192" bestFit="1" customWidth="1"/>
    <col min="11267" max="11267" width="11.6640625" style="192" customWidth="1"/>
    <col min="11268" max="11268" width="46.33203125" style="192" customWidth="1"/>
    <col min="11269" max="11269" width="12.88671875" style="192" bestFit="1" customWidth="1"/>
    <col min="11270" max="11270" width="5.109375" style="192" customWidth="1"/>
    <col min="11271" max="11271" width="7.88671875" style="192" bestFit="1" customWidth="1"/>
    <col min="11272" max="11272" width="19.88671875" style="192" customWidth="1"/>
    <col min="11273" max="11273" width="15.6640625" style="192" customWidth="1"/>
    <col min="11274" max="11274" width="13.44140625" style="192" bestFit="1" customWidth="1"/>
    <col min="11275" max="11275" width="20.88671875" style="192" customWidth="1"/>
    <col min="11276" max="11276" width="104.44140625" style="192" customWidth="1"/>
    <col min="11277" max="11520" width="11.44140625" style="192"/>
    <col min="11521" max="11521" width="2.88671875" style="192" customWidth="1"/>
    <col min="11522" max="11522" width="8.109375" style="192" bestFit="1" customWidth="1"/>
    <col min="11523" max="11523" width="11.6640625" style="192" customWidth="1"/>
    <col min="11524" max="11524" width="46.33203125" style="192" customWidth="1"/>
    <col min="11525" max="11525" width="12.88671875" style="192" bestFit="1" customWidth="1"/>
    <col min="11526" max="11526" width="5.109375" style="192" customWidth="1"/>
    <col min="11527" max="11527" width="7.88671875" style="192" bestFit="1" customWidth="1"/>
    <col min="11528" max="11528" width="19.88671875" style="192" customWidth="1"/>
    <col min="11529" max="11529" width="15.6640625" style="192" customWidth="1"/>
    <col min="11530" max="11530" width="13.44140625" style="192" bestFit="1" customWidth="1"/>
    <col min="11531" max="11531" width="20.88671875" style="192" customWidth="1"/>
    <col min="11532" max="11532" width="104.44140625" style="192" customWidth="1"/>
    <col min="11533" max="11776" width="11.44140625" style="192"/>
    <col min="11777" max="11777" width="2.88671875" style="192" customWidth="1"/>
    <col min="11778" max="11778" width="8.109375" style="192" bestFit="1" customWidth="1"/>
    <col min="11779" max="11779" width="11.6640625" style="192" customWidth="1"/>
    <col min="11780" max="11780" width="46.33203125" style="192" customWidth="1"/>
    <col min="11781" max="11781" width="12.88671875" style="192" bestFit="1" customWidth="1"/>
    <col min="11782" max="11782" width="5.109375" style="192" customWidth="1"/>
    <col min="11783" max="11783" width="7.88671875" style="192" bestFit="1" customWidth="1"/>
    <col min="11784" max="11784" width="19.88671875" style="192" customWidth="1"/>
    <col min="11785" max="11785" width="15.6640625" style="192" customWidth="1"/>
    <col min="11786" max="11786" width="13.44140625" style="192" bestFit="1" customWidth="1"/>
    <col min="11787" max="11787" width="20.88671875" style="192" customWidth="1"/>
    <col min="11788" max="11788" width="104.44140625" style="192" customWidth="1"/>
    <col min="11789" max="12032" width="11.44140625" style="192"/>
    <col min="12033" max="12033" width="2.88671875" style="192" customWidth="1"/>
    <col min="12034" max="12034" width="8.109375" style="192" bestFit="1" customWidth="1"/>
    <col min="12035" max="12035" width="11.6640625" style="192" customWidth="1"/>
    <col min="12036" max="12036" width="46.33203125" style="192" customWidth="1"/>
    <col min="12037" max="12037" width="12.88671875" style="192" bestFit="1" customWidth="1"/>
    <col min="12038" max="12038" width="5.109375" style="192" customWidth="1"/>
    <col min="12039" max="12039" width="7.88671875" style="192" bestFit="1" customWidth="1"/>
    <col min="12040" max="12040" width="19.88671875" style="192" customWidth="1"/>
    <col min="12041" max="12041" width="15.6640625" style="192" customWidth="1"/>
    <col min="12042" max="12042" width="13.44140625" style="192" bestFit="1" customWidth="1"/>
    <col min="12043" max="12043" width="20.88671875" style="192" customWidth="1"/>
    <col min="12044" max="12044" width="104.44140625" style="192" customWidth="1"/>
    <col min="12045" max="12288" width="11.44140625" style="192"/>
    <col min="12289" max="12289" width="2.88671875" style="192" customWidth="1"/>
    <col min="12290" max="12290" width="8.109375" style="192" bestFit="1" customWidth="1"/>
    <col min="12291" max="12291" width="11.6640625" style="192" customWidth="1"/>
    <col min="12292" max="12292" width="46.33203125" style="192" customWidth="1"/>
    <col min="12293" max="12293" width="12.88671875" style="192" bestFit="1" customWidth="1"/>
    <col min="12294" max="12294" width="5.109375" style="192" customWidth="1"/>
    <col min="12295" max="12295" width="7.88671875" style="192" bestFit="1" customWidth="1"/>
    <col min="12296" max="12296" width="19.88671875" style="192" customWidth="1"/>
    <col min="12297" max="12297" width="15.6640625" style="192" customWidth="1"/>
    <col min="12298" max="12298" width="13.44140625" style="192" bestFit="1" customWidth="1"/>
    <col min="12299" max="12299" width="20.88671875" style="192" customWidth="1"/>
    <col min="12300" max="12300" width="104.44140625" style="192" customWidth="1"/>
    <col min="12301" max="12544" width="11.44140625" style="192"/>
    <col min="12545" max="12545" width="2.88671875" style="192" customWidth="1"/>
    <col min="12546" max="12546" width="8.109375" style="192" bestFit="1" customWidth="1"/>
    <col min="12547" max="12547" width="11.6640625" style="192" customWidth="1"/>
    <col min="12548" max="12548" width="46.33203125" style="192" customWidth="1"/>
    <col min="12549" max="12549" width="12.88671875" style="192" bestFit="1" customWidth="1"/>
    <col min="12550" max="12550" width="5.109375" style="192" customWidth="1"/>
    <col min="12551" max="12551" width="7.88671875" style="192" bestFit="1" customWidth="1"/>
    <col min="12552" max="12552" width="19.88671875" style="192" customWidth="1"/>
    <col min="12553" max="12553" width="15.6640625" style="192" customWidth="1"/>
    <col min="12554" max="12554" width="13.44140625" style="192" bestFit="1" customWidth="1"/>
    <col min="12555" max="12555" width="20.88671875" style="192" customWidth="1"/>
    <col min="12556" max="12556" width="104.44140625" style="192" customWidth="1"/>
    <col min="12557" max="12800" width="11.44140625" style="192"/>
    <col min="12801" max="12801" width="2.88671875" style="192" customWidth="1"/>
    <col min="12802" max="12802" width="8.109375" style="192" bestFit="1" customWidth="1"/>
    <col min="12803" max="12803" width="11.6640625" style="192" customWidth="1"/>
    <col min="12804" max="12804" width="46.33203125" style="192" customWidth="1"/>
    <col min="12805" max="12805" width="12.88671875" style="192" bestFit="1" customWidth="1"/>
    <col min="12806" max="12806" width="5.109375" style="192" customWidth="1"/>
    <col min="12807" max="12807" width="7.88671875" style="192" bestFit="1" customWidth="1"/>
    <col min="12808" max="12808" width="19.88671875" style="192" customWidth="1"/>
    <col min="12809" max="12809" width="15.6640625" style="192" customWidth="1"/>
    <col min="12810" max="12810" width="13.44140625" style="192" bestFit="1" customWidth="1"/>
    <col min="12811" max="12811" width="20.88671875" style="192" customWidth="1"/>
    <col min="12812" max="12812" width="104.44140625" style="192" customWidth="1"/>
    <col min="12813" max="13056" width="11.44140625" style="192"/>
    <col min="13057" max="13057" width="2.88671875" style="192" customWidth="1"/>
    <col min="13058" max="13058" width="8.109375" style="192" bestFit="1" customWidth="1"/>
    <col min="13059" max="13059" width="11.6640625" style="192" customWidth="1"/>
    <col min="13060" max="13060" width="46.33203125" style="192" customWidth="1"/>
    <col min="13061" max="13061" width="12.88671875" style="192" bestFit="1" customWidth="1"/>
    <col min="13062" max="13062" width="5.109375" style="192" customWidth="1"/>
    <col min="13063" max="13063" width="7.88671875" style="192" bestFit="1" customWidth="1"/>
    <col min="13064" max="13064" width="19.88671875" style="192" customWidth="1"/>
    <col min="13065" max="13065" width="15.6640625" style="192" customWidth="1"/>
    <col min="13066" max="13066" width="13.44140625" style="192" bestFit="1" customWidth="1"/>
    <col min="13067" max="13067" width="20.88671875" style="192" customWidth="1"/>
    <col min="13068" max="13068" width="104.44140625" style="192" customWidth="1"/>
    <col min="13069" max="13312" width="11.44140625" style="192"/>
    <col min="13313" max="13313" width="2.88671875" style="192" customWidth="1"/>
    <col min="13314" max="13314" width="8.109375" style="192" bestFit="1" customWidth="1"/>
    <col min="13315" max="13315" width="11.6640625" style="192" customWidth="1"/>
    <col min="13316" max="13316" width="46.33203125" style="192" customWidth="1"/>
    <col min="13317" max="13317" width="12.88671875" style="192" bestFit="1" customWidth="1"/>
    <col min="13318" max="13318" width="5.109375" style="192" customWidth="1"/>
    <col min="13319" max="13319" width="7.88671875" style="192" bestFit="1" customWidth="1"/>
    <col min="13320" max="13320" width="19.88671875" style="192" customWidth="1"/>
    <col min="13321" max="13321" width="15.6640625" style="192" customWidth="1"/>
    <col min="13322" max="13322" width="13.44140625" style="192" bestFit="1" customWidth="1"/>
    <col min="13323" max="13323" width="20.88671875" style="192" customWidth="1"/>
    <col min="13324" max="13324" width="104.44140625" style="192" customWidth="1"/>
    <col min="13325" max="13568" width="11.44140625" style="192"/>
    <col min="13569" max="13569" width="2.88671875" style="192" customWidth="1"/>
    <col min="13570" max="13570" width="8.109375" style="192" bestFit="1" customWidth="1"/>
    <col min="13571" max="13571" width="11.6640625" style="192" customWidth="1"/>
    <col min="13572" max="13572" width="46.33203125" style="192" customWidth="1"/>
    <col min="13573" max="13573" width="12.88671875" style="192" bestFit="1" customWidth="1"/>
    <col min="13574" max="13574" width="5.109375" style="192" customWidth="1"/>
    <col min="13575" max="13575" width="7.88671875" style="192" bestFit="1" customWidth="1"/>
    <col min="13576" max="13576" width="19.88671875" style="192" customWidth="1"/>
    <col min="13577" max="13577" width="15.6640625" style="192" customWidth="1"/>
    <col min="13578" max="13578" width="13.44140625" style="192" bestFit="1" customWidth="1"/>
    <col min="13579" max="13579" width="20.88671875" style="192" customWidth="1"/>
    <col min="13580" max="13580" width="104.44140625" style="192" customWidth="1"/>
    <col min="13581" max="13824" width="11.44140625" style="192"/>
    <col min="13825" max="13825" width="2.88671875" style="192" customWidth="1"/>
    <col min="13826" max="13826" width="8.109375" style="192" bestFit="1" customWidth="1"/>
    <col min="13827" max="13827" width="11.6640625" style="192" customWidth="1"/>
    <col min="13828" max="13828" width="46.33203125" style="192" customWidth="1"/>
    <col min="13829" max="13829" width="12.88671875" style="192" bestFit="1" customWidth="1"/>
    <col min="13830" max="13830" width="5.109375" style="192" customWidth="1"/>
    <col min="13831" max="13831" width="7.88671875" style="192" bestFit="1" customWidth="1"/>
    <col min="13832" max="13832" width="19.88671875" style="192" customWidth="1"/>
    <col min="13833" max="13833" width="15.6640625" style="192" customWidth="1"/>
    <col min="13834" max="13834" width="13.44140625" style="192" bestFit="1" customWidth="1"/>
    <col min="13835" max="13835" width="20.88671875" style="192" customWidth="1"/>
    <col min="13836" max="13836" width="104.44140625" style="192" customWidth="1"/>
    <col min="13837" max="14080" width="11.44140625" style="192"/>
    <col min="14081" max="14081" width="2.88671875" style="192" customWidth="1"/>
    <col min="14082" max="14082" width="8.109375" style="192" bestFit="1" customWidth="1"/>
    <col min="14083" max="14083" width="11.6640625" style="192" customWidth="1"/>
    <col min="14084" max="14084" width="46.33203125" style="192" customWidth="1"/>
    <col min="14085" max="14085" width="12.88671875" style="192" bestFit="1" customWidth="1"/>
    <col min="14086" max="14086" width="5.109375" style="192" customWidth="1"/>
    <col min="14087" max="14087" width="7.88671875" style="192" bestFit="1" customWidth="1"/>
    <col min="14088" max="14088" width="19.88671875" style="192" customWidth="1"/>
    <col min="14089" max="14089" width="15.6640625" style="192" customWidth="1"/>
    <col min="14090" max="14090" width="13.44140625" style="192" bestFit="1" customWidth="1"/>
    <col min="14091" max="14091" width="20.88671875" style="192" customWidth="1"/>
    <col min="14092" max="14092" width="104.44140625" style="192" customWidth="1"/>
    <col min="14093" max="14336" width="11.44140625" style="192"/>
    <col min="14337" max="14337" width="2.88671875" style="192" customWidth="1"/>
    <col min="14338" max="14338" width="8.109375" style="192" bestFit="1" customWidth="1"/>
    <col min="14339" max="14339" width="11.6640625" style="192" customWidth="1"/>
    <col min="14340" max="14340" width="46.33203125" style="192" customWidth="1"/>
    <col min="14341" max="14341" width="12.88671875" style="192" bestFit="1" customWidth="1"/>
    <col min="14342" max="14342" width="5.109375" style="192" customWidth="1"/>
    <col min="14343" max="14343" width="7.88671875" style="192" bestFit="1" customWidth="1"/>
    <col min="14344" max="14344" width="19.88671875" style="192" customWidth="1"/>
    <col min="14345" max="14345" width="15.6640625" style="192" customWidth="1"/>
    <col min="14346" max="14346" width="13.44140625" style="192" bestFit="1" customWidth="1"/>
    <col min="14347" max="14347" width="20.88671875" style="192" customWidth="1"/>
    <col min="14348" max="14348" width="104.44140625" style="192" customWidth="1"/>
    <col min="14349" max="14592" width="11.44140625" style="192"/>
    <col min="14593" max="14593" width="2.88671875" style="192" customWidth="1"/>
    <col min="14594" max="14594" width="8.109375" style="192" bestFit="1" customWidth="1"/>
    <col min="14595" max="14595" width="11.6640625" style="192" customWidth="1"/>
    <col min="14596" max="14596" width="46.33203125" style="192" customWidth="1"/>
    <col min="14597" max="14597" width="12.88671875" style="192" bestFit="1" customWidth="1"/>
    <col min="14598" max="14598" width="5.109375" style="192" customWidth="1"/>
    <col min="14599" max="14599" width="7.88671875" style="192" bestFit="1" customWidth="1"/>
    <col min="14600" max="14600" width="19.88671875" style="192" customWidth="1"/>
    <col min="14601" max="14601" width="15.6640625" style="192" customWidth="1"/>
    <col min="14602" max="14602" width="13.44140625" style="192" bestFit="1" customWidth="1"/>
    <col min="14603" max="14603" width="20.88671875" style="192" customWidth="1"/>
    <col min="14604" max="14604" width="104.44140625" style="192" customWidth="1"/>
    <col min="14605" max="14848" width="11.44140625" style="192"/>
    <col min="14849" max="14849" width="2.88671875" style="192" customWidth="1"/>
    <col min="14850" max="14850" width="8.109375" style="192" bestFit="1" customWidth="1"/>
    <col min="14851" max="14851" width="11.6640625" style="192" customWidth="1"/>
    <col min="14852" max="14852" width="46.33203125" style="192" customWidth="1"/>
    <col min="14853" max="14853" width="12.88671875" style="192" bestFit="1" customWidth="1"/>
    <col min="14854" max="14854" width="5.109375" style="192" customWidth="1"/>
    <col min="14855" max="14855" width="7.88671875" style="192" bestFit="1" customWidth="1"/>
    <col min="14856" max="14856" width="19.88671875" style="192" customWidth="1"/>
    <col min="14857" max="14857" width="15.6640625" style="192" customWidth="1"/>
    <col min="14858" max="14858" width="13.44140625" style="192" bestFit="1" customWidth="1"/>
    <col min="14859" max="14859" width="20.88671875" style="192" customWidth="1"/>
    <col min="14860" max="14860" width="104.44140625" style="192" customWidth="1"/>
    <col min="14861" max="15104" width="11.44140625" style="192"/>
    <col min="15105" max="15105" width="2.88671875" style="192" customWidth="1"/>
    <col min="15106" max="15106" width="8.109375" style="192" bestFit="1" customWidth="1"/>
    <col min="15107" max="15107" width="11.6640625" style="192" customWidth="1"/>
    <col min="15108" max="15108" width="46.33203125" style="192" customWidth="1"/>
    <col min="15109" max="15109" width="12.88671875" style="192" bestFit="1" customWidth="1"/>
    <col min="15110" max="15110" width="5.109375" style="192" customWidth="1"/>
    <col min="15111" max="15111" width="7.88671875" style="192" bestFit="1" customWidth="1"/>
    <col min="15112" max="15112" width="19.88671875" style="192" customWidth="1"/>
    <col min="15113" max="15113" width="15.6640625" style="192" customWidth="1"/>
    <col min="15114" max="15114" width="13.44140625" style="192" bestFit="1" customWidth="1"/>
    <col min="15115" max="15115" width="20.88671875" style="192" customWidth="1"/>
    <col min="15116" max="15116" width="104.44140625" style="192" customWidth="1"/>
    <col min="15117" max="15360" width="11.44140625" style="192"/>
    <col min="15361" max="15361" width="2.88671875" style="192" customWidth="1"/>
    <col min="15362" max="15362" width="8.109375" style="192" bestFit="1" customWidth="1"/>
    <col min="15363" max="15363" width="11.6640625" style="192" customWidth="1"/>
    <col min="15364" max="15364" width="46.33203125" style="192" customWidth="1"/>
    <col min="15365" max="15365" width="12.88671875" style="192" bestFit="1" customWidth="1"/>
    <col min="15366" max="15366" width="5.109375" style="192" customWidth="1"/>
    <col min="15367" max="15367" width="7.88671875" style="192" bestFit="1" customWidth="1"/>
    <col min="15368" max="15368" width="19.88671875" style="192" customWidth="1"/>
    <col min="15369" max="15369" width="15.6640625" style="192" customWidth="1"/>
    <col min="15370" max="15370" width="13.44140625" style="192" bestFit="1" customWidth="1"/>
    <col min="15371" max="15371" width="20.88671875" style="192" customWidth="1"/>
    <col min="15372" max="15372" width="104.44140625" style="192" customWidth="1"/>
    <col min="15373" max="15616" width="11.44140625" style="192"/>
    <col min="15617" max="15617" width="2.88671875" style="192" customWidth="1"/>
    <col min="15618" max="15618" width="8.109375" style="192" bestFit="1" customWidth="1"/>
    <col min="15619" max="15619" width="11.6640625" style="192" customWidth="1"/>
    <col min="15620" max="15620" width="46.33203125" style="192" customWidth="1"/>
    <col min="15621" max="15621" width="12.88671875" style="192" bestFit="1" customWidth="1"/>
    <col min="15622" max="15622" width="5.109375" style="192" customWidth="1"/>
    <col min="15623" max="15623" width="7.88671875" style="192" bestFit="1" customWidth="1"/>
    <col min="15624" max="15624" width="19.88671875" style="192" customWidth="1"/>
    <col min="15625" max="15625" width="15.6640625" style="192" customWidth="1"/>
    <col min="15626" max="15626" width="13.44140625" style="192" bestFit="1" customWidth="1"/>
    <col min="15627" max="15627" width="20.88671875" style="192" customWidth="1"/>
    <col min="15628" max="15628" width="104.44140625" style="192" customWidth="1"/>
    <col min="15629" max="15872" width="11.44140625" style="192"/>
    <col min="15873" max="15873" width="2.88671875" style="192" customWidth="1"/>
    <col min="15874" max="15874" width="8.109375" style="192" bestFit="1" customWidth="1"/>
    <col min="15875" max="15875" width="11.6640625" style="192" customWidth="1"/>
    <col min="15876" max="15876" width="46.33203125" style="192" customWidth="1"/>
    <col min="15877" max="15877" width="12.88671875" style="192" bestFit="1" customWidth="1"/>
    <col min="15878" max="15878" width="5.109375" style="192" customWidth="1"/>
    <col min="15879" max="15879" width="7.88671875" style="192" bestFit="1" customWidth="1"/>
    <col min="15880" max="15880" width="19.88671875" style="192" customWidth="1"/>
    <col min="15881" max="15881" width="15.6640625" style="192" customWidth="1"/>
    <col min="15882" max="15882" width="13.44140625" style="192" bestFit="1" customWidth="1"/>
    <col min="15883" max="15883" width="20.88671875" style="192" customWidth="1"/>
    <col min="15884" max="15884" width="104.44140625" style="192" customWidth="1"/>
    <col min="15885" max="16128" width="11.44140625" style="192"/>
    <col min="16129" max="16129" width="2.88671875" style="192" customWidth="1"/>
    <col min="16130" max="16130" width="8.109375" style="192" bestFit="1" customWidth="1"/>
    <col min="16131" max="16131" width="11.6640625" style="192" customWidth="1"/>
    <col min="16132" max="16132" width="46.33203125" style="192" customWidth="1"/>
    <col min="16133" max="16133" width="12.88671875" style="192" bestFit="1" customWidth="1"/>
    <col min="16134" max="16134" width="5.109375" style="192" customWidth="1"/>
    <col min="16135" max="16135" width="7.88671875" style="192" bestFit="1" customWidth="1"/>
    <col min="16136" max="16136" width="19.88671875" style="192" customWidth="1"/>
    <col min="16137" max="16137" width="15.6640625" style="192" customWidth="1"/>
    <col min="16138" max="16138" width="13.44140625" style="192" bestFit="1" customWidth="1"/>
    <col min="16139" max="16139" width="20.88671875" style="192" customWidth="1"/>
    <col min="16140" max="16140" width="104.44140625" style="192" customWidth="1"/>
    <col min="16141" max="16384" width="11.44140625" style="192"/>
  </cols>
  <sheetData>
    <row r="1" spans="2:17" x14ac:dyDescent="0.3">
      <c r="K1" s="192"/>
      <c r="L1" s="192"/>
    </row>
    <row r="2" spans="2:17" ht="51" customHeight="1" x14ac:dyDescent="0.3">
      <c r="B2" s="655" t="s">
        <v>436</v>
      </c>
      <c r="C2" s="656"/>
      <c r="D2" s="656"/>
      <c r="E2" s="656"/>
      <c r="F2" s="656"/>
      <c r="G2" s="656"/>
      <c r="H2" s="656"/>
      <c r="I2" s="657"/>
      <c r="J2" s="193"/>
      <c r="K2" s="192"/>
      <c r="L2" s="192"/>
    </row>
    <row r="3" spans="2:17" ht="15" customHeight="1" x14ac:dyDescent="0.3">
      <c r="B3" s="194"/>
      <c r="C3" s="195"/>
      <c r="D3" s="196"/>
      <c r="E3" s="197"/>
      <c r="F3" s="198"/>
      <c r="G3" s="198"/>
      <c r="H3" s="198"/>
      <c r="I3" s="199"/>
      <c r="K3" s="192"/>
      <c r="L3" s="192"/>
    </row>
    <row r="4" spans="2:17" ht="18" x14ac:dyDescent="0.3">
      <c r="B4" s="658" t="s">
        <v>244</v>
      </c>
      <c r="C4" s="659"/>
      <c r="D4" s="659"/>
      <c r="E4" s="659"/>
      <c r="F4" s="659"/>
      <c r="G4" s="659"/>
      <c r="H4" s="659"/>
      <c r="I4" s="660"/>
      <c r="J4" s="193"/>
      <c r="K4" s="192"/>
      <c r="L4" s="192"/>
    </row>
    <row r="5" spans="2:17" ht="18.75" customHeight="1" x14ac:dyDescent="0.3">
      <c r="B5" s="658"/>
      <c r="C5" s="659"/>
      <c r="D5" s="659"/>
      <c r="E5" s="659"/>
      <c r="F5" s="659"/>
      <c r="G5" s="659"/>
      <c r="H5" s="659"/>
      <c r="I5" s="660"/>
      <c r="J5" s="193"/>
      <c r="K5" s="192"/>
      <c r="L5" s="192"/>
    </row>
    <row r="6" spans="2:17" ht="18.75" customHeight="1" x14ac:dyDescent="0.3">
      <c r="B6" s="658" t="s">
        <v>215</v>
      </c>
      <c r="C6" s="659"/>
      <c r="D6" s="659"/>
      <c r="E6" s="659"/>
      <c r="F6" s="659"/>
      <c r="G6" s="659">
        <v>-335544.32000000001</v>
      </c>
      <c r="H6" s="659"/>
      <c r="I6" s="660"/>
      <c r="J6" s="192"/>
      <c r="K6" s="192"/>
      <c r="L6" s="192"/>
    </row>
    <row r="7" spans="2:17" x14ac:dyDescent="0.3">
      <c r="B7" s="200"/>
      <c r="C7" s="201"/>
      <c r="D7" s="202"/>
      <c r="E7" s="202"/>
      <c r="F7" s="202"/>
      <c r="G7" s="202" t="s">
        <v>157</v>
      </c>
      <c r="H7" s="661">
        <v>45146</v>
      </c>
      <c r="I7" s="662"/>
      <c r="J7" s="203"/>
      <c r="K7" s="192"/>
      <c r="L7" s="192"/>
    </row>
    <row r="8" spans="2:17" x14ac:dyDescent="0.3">
      <c r="K8" s="192"/>
      <c r="L8" s="192"/>
    </row>
    <row r="9" spans="2:17" ht="35.1" customHeight="1" x14ac:dyDescent="0.3">
      <c r="B9" s="205" t="s">
        <v>147</v>
      </c>
      <c r="C9" s="205" t="s">
        <v>216</v>
      </c>
      <c r="D9" s="650" t="s">
        <v>148</v>
      </c>
      <c r="E9" s="651"/>
      <c r="F9" s="206" t="s">
        <v>37</v>
      </c>
      <c r="G9" s="207" t="s">
        <v>149</v>
      </c>
      <c r="H9" s="207" t="s">
        <v>217</v>
      </c>
      <c r="I9" s="207" t="s">
        <v>0</v>
      </c>
      <c r="J9" s="208"/>
      <c r="K9" s="209"/>
      <c r="L9" s="192"/>
    </row>
    <row r="10" spans="2:17" x14ac:dyDescent="0.3">
      <c r="B10" s="210" t="s">
        <v>145</v>
      </c>
      <c r="C10" s="652" t="s">
        <v>218</v>
      </c>
      <c r="D10" s="653"/>
      <c r="E10" s="653"/>
      <c r="F10" s="211"/>
      <c r="G10" s="211"/>
      <c r="H10" s="211"/>
      <c r="I10" s="212"/>
      <c r="J10" s="213"/>
      <c r="M10" s="214"/>
      <c r="N10" s="215"/>
      <c r="O10" s="216"/>
      <c r="P10" s="217"/>
      <c r="Q10" s="218"/>
    </row>
    <row r="11" spans="2:17" x14ac:dyDescent="0.3">
      <c r="B11" s="219" t="s">
        <v>413</v>
      </c>
      <c r="C11" s="654" t="s">
        <v>234</v>
      </c>
      <c r="D11" s="645"/>
      <c r="E11" s="220"/>
      <c r="F11" s="221" t="s">
        <v>51</v>
      </c>
      <c r="G11" s="222"/>
      <c r="H11" s="223"/>
      <c r="I11" s="224">
        <f>SUM(I12:I16)</f>
        <v>4121</v>
      </c>
      <c r="J11" s="225"/>
      <c r="K11" s="643"/>
      <c r="L11" s="643"/>
    </row>
    <row r="12" spans="2:17" x14ac:dyDescent="0.25">
      <c r="B12" s="226"/>
      <c r="C12" s="282" t="s">
        <v>70</v>
      </c>
      <c r="D12" s="283" t="s">
        <v>71</v>
      </c>
      <c r="E12" s="283" t="s">
        <v>69</v>
      </c>
      <c r="F12" s="283" t="s">
        <v>37</v>
      </c>
      <c r="G12" s="283">
        <v>0.05</v>
      </c>
      <c r="H12" s="230">
        <v>2679</v>
      </c>
      <c r="I12" s="231">
        <f>ROUND((+H12*G12),0)</f>
        <v>134</v>
      </c>
      <c r="J12" s="232"/>
      <c r="L12" s="192"/>
      <c r="Q12" s="233"/>
    </row>
    <row r="13" spans="2:17" x14ac:dyDescent="0.25">
      <c r="B13" s="234"/>
      <c r="C13" s="281" t="s">
        <v>235</v>
      </c>
      <c r="D13" s="280" t="s">
        <v>231</v>
      </c>
      <c r="E13" s="280" t="s">
        <v>150</v>
      </c>
      <c r="F13" s="280" t="s">
        <v>236</v>
      </c>
      <c r="G13" s="280">
        <v>8.0000000000000002E-3</v>
      </c>
      <c r="H13" s="238">
        <v>96810</v>
      </c>
      <c r="I13" s="239">
        <f>ROUND((+H13*G13),0)</f>
        <v>774</v>
      </c>
      <c r="J13" s="232"/>
      <c r="L13" s="192"/>
      <c r="Q13" s="233"/>
    </row>
    <row r="14" spans="2:17" x14ac:dyDescent="0.25">
      <c r="B14" s="234"/>
      <c r="C14" s="281" t="s">
        <v>237</v>
      </c>
      <c r="D14" s="280" t="s">
        <v>232</v>
      </c>
      <c r="E14" s="280" t="s">
        <v>150</v>
      </c>
      <c r="F14" s="280" t="s">
        <v>65</v>
      </c>
      <c r="G14" s="280">
        <v>4.0000000000000001E-3</v>
      </c>
      <c r="H14" s="238">
        <v>689121</v>
      </c>
      <c r="I14" s="239">
        <f>ROUND((+H14*G14),0)</f>
        <v>2756</v>
      </c>
      <c r="J14" s="232"/>
      <c r="L14" s="192"/>
      <c r="Q14" s="233"/>
    </row>
    <row r="15" spans="2:17" x14ac:dyDescent="0.25">
      <c r="B15" s="234"/>
      <c r="C15" s="281" t="s">
        <v>59</v>
      </c>
      <c r="D15" s="280" t="s">
        <v>60</v>
      </c>
      <c r="E15" s="280" t="s">
        <v>150</v>
      </c>
      <c r="F15" s="280" t="s">
        <v>58</v>
      </c>
      <c r="G15" s="280">
        <v>0.01</v>
      </c>
      <c r="H15" s="238">
        <v>3787</v>
      </c>
      <c r="I15" s="239">
        <f>ROUND((+H15*G15),0)</f>
        <v>38</v>
      </c>
      <c r="J15" s="232"/>
      <c r="L15" s="192"/>
      <c r="Q15" s="233"/>
    </row>
    <row r="16" spans="2:17" x14ac:dyDescent="0.25">
      <c r="B16" s="240"/>
      <c r="C16" s="284" t="s">
        <v>238</v>
      </c>
      <c r="D16" s="285" t="s">
        <v>233</v>
      </c>
      <c r="E16" s="285" t="s">
        <v>150</v>
      </c>
      <c r="F16" s="285" t="s">
        <v>37</v>
      </c>
      <c r="G16" s="285">
        <v>1</v>
      </c>
      <c r="H16" s="244">
        <v>419</v>
      </c>
      <c r="I16" s="245">
        <f>ROUND((+H16*G16),0)</f>
        <v>419</v>
      </c>
      <c r="J16" s="232"/>
      <c r="L16" s="192"/>
      <c r="Q16" s="233"/>
    </row>
    <row r="17" spans="2:17" x14ac:dyDescent="0.3">
      <c r="L17" s="192"/>
    </row>
    <row r="18" spans="2:17" ht="30" customHeight="1" x14ac:dyDescent="0.3">
      <c r="B18" s="246" t="s">
        <v>414</v>
      </c>
      <c r="C18" s="644" t="s">
        <v>239</v>
      </c>
      <c r="D18" s="645"/>
      <c r="E18" s="646"/>
      <c r="F18" s="221" t="s">
        <v>219</v>
      </c>
      <c r="G18" s="222"/>
      <c r="H18" s="223"/>
      <c r="I18" s="224">
        <f>SUM(I19:I21)</f>
        <v>35590</v>
      </c>
      <c r="J18" s="225"/>
      <c r="L18" s="192"/>
    </row>
    <row r="19" spans="2:17" x14ac:dyDescent="0.25">
      <c r="B19" s="226"/>
      <c r="C19" s="281" t="s">
        <v>86</v>
      </c>
      <c r="D19" s="280" t="s">
        <v>87</v>
      </c>
      <c r="E19" s="280" t="s">
        <v>82</v>
      </c>
      <c r="F19" s="280" t="s">
        <v>13</v>
      </c>
      <c r="G19" s="280">
        <v>0.6</v>
      </c>
      <c r="H19" s="230">
        <f>+'Factor Prestacional'!D86</f>
        <v>55825</v>
      </c>
      <c r="I19" s="231">
        <f>ROUND((+H19*G19),0)</f>
        <v>33495</v>
      </c>
      <c r="J19" s="232"/>
      <c r="L19" s="192"/>
      <c r="Q19" s="233"/>
    </row>
    <row r="20" spans="2:17" x14ac:dyDescent="0.25">
      <c r="B20" s="234"/>
      <c r="C20" s="281" t="s">
        <v>77</v>
      </c>
      <c r="D20" s="280" t="s">
        <v>78</v>
      </c>
      <c r="E20" s="280" t="s">
        <v>72</v>
      </c>
      <c r="F20" s="280" t="s">
        <v>65</v>
      </c>
      <c r="G20" s="280">
        <v>0.02</v>
      </c>
      <c r="H20" s="238">
        <v>51152</v>
      </c>
      <c r="I20" s="239">
        <f>ROUND((+H20*G20),0)</f>
        <v>1023</v>
      </c>
      <c r="J20" s="232"/>
      <c r="L20" s="192"/>
      <c r="Q20" s="233"/>
    </row>
    <row r="21" spans="2:17" x14ac:dyDescent="0.25">
      <c r="B21" s="234"/>
      <c r="C21" s="281" t="s">
        <v>70</v>
      </c>
      <c r="D21" s="280" t="s">
        <v>71</v>
      </c>
      <c r="E21" s="280" t="s">
        <v>69</v>
      </c>
      <c r="F21" s="280" t="s">
        <v>37</v>
      </c>
      <c r="G21" s="280">
        <v>0.4</v>
      </c>
      <c r="H21" s="238">
        <v>2679</v>
      </c>
      <c r="I21" s="239">
        <f>ROUND((+H21*G21),0)</f>
        <v>1072</v>
      </c>
      <c r="J21" s="232"/>
      <c r="L21" s="192"/>
      <c r="Q21" s="233"/>
    </row>
    <row r="22" spans="2:17" x14ac:dyDescent="0.3">
      <c r="L22" s="192"/>
    </row>
    <row r="23" spans="2:17" ht="15.75" customHeight="1" x14ac:dyDescent="0.3">
      <c r="B23" s="246" t="s">
        <v>415</v>
      </c>
      <c r="C23" s="644" t="s">
        <v>152</v>
      </c>
      <c r="D23" s="645"/>
      <c r="E23" s="646"/>
      <c r="F23" s="221" t="s">
        <v>219</v>
      </c>
      <c r="G23" s="222"/>
      <c r="H23" s="222"/>
      <c r="I23" s="224">
        <f>SUM(I24:I26)</f>
        <v>42618</v>
      </c>
      <c r="J23" s="225"/>
      <c r="L23" s="192"/>
    </row>
    <row r="24" spans="2:17" x14ac:dyDescent="0.3">
      <c r="B24" s="226"/>
      <c r="C24" s="281" t="s">
        <v>83</v>
      </c>
      <c r="D24" s="280" t="s">
        <v>84</v>
      </c>
      <c r="E24" s="280" t="s">
        <v>82</v>
      </c>
      <c r="F24" s="280" t="s">
        <v>13</v>
      </c>
      <c r="G24" s="280">
        <v>0.217</v>
      </c>
      <c r="H24" s="238">
        <f>+'Factor Prestacional'!D84</f>
        <v>39005</v>
      </c>
      <c r="I24" s="231">
        <f>ROUND((+H24*G24),0)</f>
        <v>8464</v>
      </c>
      <c r="J24" s="232"/>
      <c r="Q24" s="233"/>
    </row>
    <row r="25" spans="2:17" x14ac:dyDescent="0.3">
      <c r="B25" s="234"/>
      <c r="C25" s="281" t="s">
        <v>75</v>
      </c>
      <c r="D25" s="280" t="s">
        <v>76</v>
      </c>
      <c r="E25" s="280" t="s">
        <v>72</v>
      </c>
      <c r="F25" s="280" t="s">
        <v>68</v>
      </c>
      <c r="G25" s="280">
        <v>0.217</v>
      </c>
      <c r="H25" s="238">
        <v>154713</v>
      </c>
      <c r="I25" s="239">
        <f>ROUND((+H25*G25),0)</f>
        <v>33573</v>
      </c>
      <c r="J25" s="232"/>
      <c r="Q25" s="233"/>
    </row>
    <row r="26" spans="2:17" x14ac:dyDescent="0.3">
      <c r="B26" s="234"/>
      <c r="C26" s="281" t="s">
        <v>70</v>
      </c>
      <c r="D26" s="280" t="s">
        <v>71</v>
      </c>
      <c r="E26" s="280" t="s">
        <v>69</v>
      </c>
      <c r="F26" s="280" t="s">
        <v>37</v>
      </c>
      <c r="G26" s="280">
        <v>0.217</v>
      </c>
      <c r="H26" s="238">
        <v>2679</v>
      </c>
      <c r="I26" s="239">
        <f>ROUND((+H26*G26),0)</f>
        <v>581</v>
      </c>
      <c r="J26" s="232"/>
      <c r="Q26" s="233"/>
    </row>
    <row r="27" spans="2:17" x14ac:dyDescent="0.3">
      <c r="L27" s="192"/>
    </row>
    <row r="28" spans="2:17" x14ac:dyDescent="0.3">
      <c r="B28" s="246" t="s">
        <v>416</v>
      </c>
      <c r="C28" s="644" t="s">
        <v>153</v>
      </c>
      <c r="D28" s="645"/>
      <c r="E28" s="646"/>
      <c r="F28" s="221" t="s">
        <v>220</v>
      </c>
      <c r="G28" s="222"/>
      <c r="H28" s="223"/>
      <c r="I28" s="224">
        <f>SUM(I29:I34)</f>
        <v>4942</v>
      </c>
      <c r="J28" s="225"/>
      <c r="L28" s="192"/>
    </row>
    <row r="29" spans="2:17" s="248" customFormat="1" x14ac:dyDescent="0.25">
      <c r="B29" s="226"/>
      <c r="C29" s="281" t="s">
        <v>221</v>
      </c>
      <c r="D29" s="280" t="s">
        <v>222</v>
      </c>
      <c r="E29" s="280" t="s">
        <v>69</v>
      </c>
      <c r="F29" s="280" t="s">
        <v>223</v>
      </c>
      <c r="G29" s="280">
        <v>0.01</v>
      </c>
      <c r="H29" s="238">
        <v>2679</v>
      </c>
      <c r="I29" s="231">
        <f t="shared" ref="I29:I34" si="0">ROUND((+H29*G29),0)</f>
        <v>27</v>
      </c>
      <c r="J29" s="249"/>
      <c r="K29" s="247"/>
      <c r="Q29" s="250"/>
    </row>
    <row r="30" spans="2:17" s="248" customFormat="1" x14ac:dyDescent="0.25">
      <c r="B30" s="234"/>
      <c r="C30" s="281" t="s">
        <v>53</v>
      </c>
      <c r="D30" s="280" t="s">
        <v>84</v>
      </c>
      <c r="E30" s="280" t="s">
        <v>224</v>
      </c>
      <c r="F30" s="280" t="s">
        <v>225</v>
      </c>
      <c r="G30" s="280">
        <f>1/150</f>
        <v>6.6666666666666671E-3</v>
      </c>
      <c r="H30" s="238">
        <f>+'Factor Prestacional'!D84</f>
        <v>39005</v>
      </c>
      <c r="I30" s="239">
        <f t="shared" si="0"/>
        <v>260</v>
      </c>
      <c r="J30" s="249"/>
      <c r="K30" s="247"/>
      <c r="Q30" s="250"/>
    </row>
    <row r="31" spans="2:17" s="248" customFormat="1" x14ac:dyDescent="0.25">
      <c r="B31" s="234"/>
      <c r="C31" s="281" t="s">
        <v>423</v>
      </c>
      <c r="D31" s="280" t="s">
        <v>424</v>
      </c>
      <c r="E31" s="280" t="s">
        <v>228</v>
      </c>
      <c r="F31" s="280" t="s">
        <v>225</v>
      </c>
      <c r="G31" s="280">
        <f>1/150</f>
        <v>6.6666666666666671E-3</v>
      </c>
      <c r="H31" s="238">
        <f>ROUND((225054*1.16),0)</f>
        <v>261063</v>
      </c>
      <c r="I31" s="239">
        <f t="shared" si="0"/>
        <v>1740</v>
      </c>
      <c r="J31" s="249"/>
      <c r="K31" s="247"/>
      <c r="Q31" s="250"/>
    </row>
    <row r="32" spans="2:17" s="248" customFormat="1" x14ac:dyDescent="0.25">
      <c r="B32" s="234"/>
      <c r="C32" s="281" t="s">
        <v>425</v>
      </c>
      <c r="D32" s="280" t="s">
        <v>426</v>
      </c>
      <c r="E32" s="280" t="s">
        <v>72</v>
      </c>
      <c r="F32" s="280" t="s">
        <v>13</v>
      </c>
      <c r="G32" s="280">
        <f>+G31</f>
        <v>6.6666666666666671E-3</v>
      </c>
      <c r="H32" s="238">
        <f>ROUND((225054*1.16),0)</f>
        <v>261063</v>
      </c>
      <c r="I32" s="239">
        <f t="shared" si="0"/>
        <v>1740</v>
      </c>
      <c r="J32" s="249"/>
      <c r="K32" s="247"/>
      <c r="Q32" s="250"/>
    </row>
    <row r="33" spans="1:17" s="248" customFormat="1" x14ac:dyDescent="0.25">
      <c r="B33" s="234"/>
      <c r="C33" s="281"/>
      <c r="D33" s="280" t="s">
        <v>410</v>
      </c>
      <c r="E33" s="280" t="s">
        <v>150</v>
      </c>
      <c r="F33" s="280" t="s">
        <v>411</v>
      </c>
      <c r="G33" s="406">
        <v>10</v>
      </c>
      <c r="H33" s="238">
        <v>100</v>
      </c>
      <c r="I33" s="239">
        <f t="shared" si="0"/>
        <v>1000</v>
      </c>
      <c r="J33" s="249"/>
      <c r="K33" s="247"/>
      <c r="Q33" s="250"/>
    </row>
    <row r="34" spans="1:17" s="248" customFormat="1" x14ac:dyDescent="0.25">
      <c r="B34" s="240"/>
      <c r="C34" s="284" t="s">
        <v>227</v>
      </c>
      <c r="D34" s="285" t="s">
        <v>73</v>
      </c>
      <c r="E34" s="285" t="s">
        <v>228</v>
      </c>
      <c r="F34" s="285" t="s">
        <v>229</v>
      </c>
      <c r="G34" s="285">
        <v>1.0399999999999999E-3</v>
      </c>
      <c r="H34" s="244">
        <f>ROUND(129127*1.3,0)</f>
        <v>167865</v>
      </c>
      <c r="I34" s="245">
        <f t="shared" si="0"/>
        <v>175</v>
      </c>
      <c r="J34" s="249"/>
      <c r="K34" s="247"/>
      <c r="Q34" s="250"/>
    </row>
    <row r="35" spans="1:17" x14ac:dyDescent="0.3">
      <c r="L35" s="192"/>
    </row>
    <row r="36" spans="1:17" x14ac:dyDescent="0.25">
      <c r="B36" s="246" t="s">
        <v>417</v>
      </c>
      <c r="C36" s="644" t="s">
        <v>154</v>
      </c>
      <c r="D36" s="645"/>
      <c r="E36" s="646"/>
      <c r="F36" s="221" t="s">
        <v>219</v>
      </c>
      <c r="G36" s="222"/>
      <c r="H36" s="223"/>
      <c r="I36" s="224">
        <f>SUM(I37:I42)</f>
        <v>154636</v>
      </c>
      <c r="J36" s="225"/>
      <c r="K36" s="286"/>
      <c r="L36" s="192"/>
    </row>
    <row r="37" spans="1:17" x14ac:dyDescent="0.25">
      <c r="B37" s="226"/>
      <c r="C37" s="282" t="s">
        <v>83</v>
      </c>
      <c r="D37" s="283" t="s">
        <v>84</v>
      </c>
      <c r="E37" s="283" t="s">
        <v>82</v>
      </c>
      <c r="F37" s="283" t="s">
        <v>13</v>
      </c>
      <c r="G37" s="283">
        <v>0.3</v>
      </c>
      <c r="H37" s="230">
        <f>+'Factor Prestacional'!D84</f>
        <v>39005</v>
      </c>
      <c r="I37" s="231">
        <f>ROUND((+H37*G37),0)</f>
        <v>11702</v>
      </c>
      <c r="J37" s="232"/>
      <c r="K37" s="286"/>
      <c r="L37" s="192"/>
      <c r="Q37" s="233"/>
    </row>
    <row r="38" spans="1:17" x14ac:dyDescent="0.25">
      <c r="B38" s="234"/>
      <c r="C38" s="281" t="s">
        <v>79</v>
      </c>
      <c r="D38" s="280" t="s">
        <v>80</v>
      </c>
      <c r="E38" s="280" t="s">
        <v>72</v>
      </c>
      <c r="F38" s="280" t="s">
        <v>65</v>
      </c>
      <c r="G38" s="280">
        <v>0.4</v>
      </c>
      <c r="H38" s="238">
        <v>45733</v>
      </c>
      <c r="I38" s="239">
        <f>ROUND((+H38*G38),0)</f>
        <v>18293</v>
      </c>
      <c r="J38" s="232"/>
      <c r="K38" s="286"/>
      <c r="L38" s="192"/>
      <c r="Q38" s="233"/>
    </row>
    <row r="39" spans="1:17" x14ac:dyDescent="0.25">
      <c r="B39" s="234"/>
      <c r="C39" s="281" t="s">
        <v>70</v>
      </c>
      <c r="D39" s="280" t="s">
        <v>71</v>
      </c>
      <c r="E39" s="280" t="s">
        <v>69</v>
      </c>
      <c r="F39" s="280" t="s">
        <v>37</v>
      </c>
      <c r="G39" s="280">
        <v>0.5</v>
      </c>
      <c r="H39" s="238">
        <v>2679</v>
      </c>
      <c r="I39" s="239">
        <f>ROUND((+H39*G39),0)</f>
        <v>1340</v>
      </c>
      <c r="J39" s="232"/>
      <c r="K39" s="286"/>
      <c r="L39" s="192"/>
      <c r="Q39" s="233"/>
    </row>
    <row r="40" spans="1:17" x14ac:dyDescent="0.25">
      <c r="B40" s="234"/>
      <c r="C40" s="281" t="s">
        <v>66</v>
      </c>
      <c r="D40" s="280" t="s">
        <v>67</v>
      </c>
      <c r="E40" s="280" t="s">
        <v>150</v>
      </c>
      <c r="F40" s="280" t="s">
        <v>37</v>
      </c>
      <c r="G40" s="280">
        <v>0.6</v>
      </c>
      <c r="H40" s="238">
        <v>1402</v>
      </c>
      <c r="I40" s="239">
        <f>ROUND((+H40*G40),0)</f>
        <v>841</v>
      </c>
      <c r="J40" s="232"/>
      <c r="K40" s="286"/>
      <c r="L40" s="192"/>
      <c r="Q40" s="233"/>
    </row>
    <row r="41" spans="1:17" x14ac:dyDescent="0.25">
      <c r="B41" s="234"/>
      <c r="C41" s="281" t="s">
        <v>55</v>
      </c>
      <c r="D41" s="280" t="s">
        <v>56</v>
      </c>
      <c r="E41" s="280" t="s">
        <v>150</v>
      </c>
      <c r="F41" s="280" t="s">
        <v>52</v>
      </c>
      <c r="G41" s="280">
        <v>1.35</v>
      </c>
      <c r="H41" s="238">
        <v>68211</v>
      </c>
      <c r="I41" s="239">
        <f>ROUND((+H41*G41),0)</f>
        <v>92085</v>
      </c>
      <c r="J41" s="232"/>
      <c r="K41" s="286"/>
      <c r="L41" s="192"/>
      <c r="Q41" s="233"/>
    </row>
    <row r="42" spans="1:17" x14ac:dyDescent="0.25">
      <c r="B42" s="240"/>
      <c r="C42" s="284"/>
      <c r="D42" s="285" t="s">
        <v>427</v>
      </c>
      <c r="E42" s="285" t="s">
        <v>150</v>
      </c>
      <c r="F42" s="285" t="s">
        <v>409</v>
      </c>
      <c r="G42" s="285">
        <f>+(G41)*15</f>
        <v>20.25</v>
      </c>
      <c r="H42" s="244">
        <v>1500</v>
      </c>
      <c r="I42" s="245">
        <f t="shared" ref="I42" si="1">ROUND((+H42*G42),0)</f>
        <v>30375</v>
      </c>
      <c r="J42" s="232"/>
      <c r="L42" s="192"/>
      <c r="Q42" s="233"/>
    </row>
    <row r="43" spans="1:17" x14ac:dyDescent="0.3">
      <c r="L43" s="192"/>
    </row>
    <row r="44" spans="1:17" ht="31.5" customHeight="1" x14ac:dyDescent="0.3">
      <c r="B44" s="255" t="s">
        <v>418</v>
      </c>
      <c r="C44" s="647" t="s">
        <v>206</v>
      </c>
      <c r="D44" s="648"/>
      <c r="E44" s="649"/>
      <c r="F44" s="256" t="s">
        <v>219</v>
      </c>
      <c r="G44" s="257"/>
      <c r="H44" s="258"/>
      <c r="I44" s="259">
        <f>SUM(I45:I53)</f>
        <v>935166</v>
      </c>
      <c r="J44" s="225"/>
      <c r="L44" s="192"/>
    </row>
    <row r="45" spans="1:17" s="263" customFormat="1" x14ac:dyDescent="0.3">
      <c r="A45" s="260"/>
      <c r="B45" s="227"/>
      <c r="C45" s="227" t="s">
        <v>221</v>
      </c>
      <c r="D45" s="228" t="s">
        <v>222</v>
      </c>
      <c r="E45" s="227" t="s">
        <v>69</v>
      </c>
      <c r="F45" s="227" t="s">
        <v>223</v>
      </c>
      <c r="G45" s="229">
        <v>0.3</v>
      </c>
      <c r="H45" s="230">
        <v>2679</v>
      </c>
      <c r="I45" s="261">
        <f>ROUND((+H45*G45),0)</f>
        <v>804</v>
      </c>
      <c r="J45" s="261"/>
      <c r="K45" s="262"/>
      <c r="Q45" s="264"/>
    </row>
    <row r="46" spans="1:17" ht="31.2" x14ac:dyDescent="0.3">
      <c r="A46" s="265"/>
      <c r="B46" s="235"/>
      <c r="C46" s="235" t="s">
        <v>245</v>
      </c>
      <c r="D46" s="236" t="s">
        <v>330</v>
      </c>
      <c r="E46" s="235" t="s">
        <v>224</v>
      </c>
      <c r="F46" s="235" t="s">
        <v>225</v>
      </c>
      <c r="G46" s="237">
        <v>3</v>
      </c>
      <c r="H46" s="238">
        <f>+'Factor Prestacional'!D92</f>
        <v>78010</v>
      </c>
      <c r="I46" s="232">
        <f t="shared" ref="I46:I53" si="2">ROUND((+H46*G46),0)</f>
        <v>234030</v>
      </c>
      <c r="J46" s="232"/>
      <c r="L46" s="192"/>
      <c r="Q46" s="233"/>
    </row>
    <row r="47" spans="1:17" x14ac:dyDescent="0.3">
      <c r="A47" s="265"/>
      <c r="B47" s="235"/>
      <c r="C47" s="235" t="s">
        <v>246</v>
      </c>
      <c r="D47" s="236" t="s">
        <v>62</v>
      </c>
      <c r="E47" s="235" t="s">
        <v>150</v>
      </c>
      <c r="F47" s="235" t="s">
        <v>247</v>
      </c>
      <c r="G47" s="237">
        <v>12</v>
      </c>
      <c r="H47" s="238">
        <v>3426</v>
      </c>
      <c r="I47" s="232">
        <f t="shared" si="2"/>
        <v>41112</v>
      </c>
      <c r="J47" s="232"/>
      <c r="L47" s="192"/>
      <c r="Q47" s="233"/>
    </row>
    <row r="48" spans="1:17" x14ac:dyDescent="0.3">
      <c r="A48" s="265"/>
      <c r="B48" s="235"/>
      <c r="C48" s="235" t="s">
        <v>248</v>
      </c>
      <c r="D48" s="236" t="s">
        <v>63</v>
      </c>
      <c r="E48" s="235" t="s">
        <v>150</v>
      </c>
      <c r="F48" s="235" t="s">
        <v>223</v>
      </c>
      <c r="G48" s="237">
        <v>4</v>
      </c>
      <c r="H48" s="238">
        <v>14472</v>
      </c>
      <c r="I48" s="232">
        <f t="shared" si="2"/>
        <v>57888</v>
      </c>
      <c r="J48" s="232"/>
      <c r="L48" s="192"/>
      <c r="Q48" s="233"/>
    </row>
    <row r="49" spans="1:17" x14ac:dyDescent="0.3">
      <c r="A49" s="265"/>
      <c r="B49" s="235"/>
      <c r="C49" s="235" t="s">
        <v>249</v>
      </c>
      <c r="D49" s="236" t="s">
        <v>60</v>
      </c>
      <c r="E49" s="235" t="s">
        <v>150</v>
      </c>
      <c r="F49" s="235" t="s">
        <v>250</v>
      </c>
      <c r="G49" s="237">
        <v>0.05</v>
      </c>
      <c r="H49" s="238">
        <v>3787</v>
      </c>
      <c r="I49" s="232">
        <f t="shared" si="2"/>
        <v>189</v>
      </c>
      <c r="J49" s="232"/>
      <c r="L49" s="192"/>
      <c r="Q49" s="233"/>
    </row>
    <row r="50" spans="1:17" x14ac:dyDescent="0.3">
      <c r="A50" s="265"/>
      <c r="B50" s="235"/>
      <c r="C50" s="235" t="s">
        <v>251</v>
      </c>
      <c r="D50" s="236" t="s">
        <v>74</v>
      </c>
      <c r="E50" s="235" t="s">
        <v>228</v>
      </c>
      <c r="F50" s="235" t="s">
        <v>229</v>
      </c>
      <c r="G50" s="237">
        <v>0.1</v>
      </c>
      <c r="H50" s="238">
        <v>54867</v>
      </c>
      <c r="I50" s="232">
        <f t="shared" si="2"/>
        <v>5487</v>
      </c>
      <c r="J50" s="232"/>
      <c r="L50" s="192"/>
      <c r="Q50" s="233"/>
    </row>
    <row r="51" spans="1:17" x14ac:dyDescent="0.3">
      <c r="A51" s="265"/>
      <c r="B51" s="235"/>
      <c r="C51" s="235" t="s">
        <v>252</v>
      </c>
      <c r="D51" s="236" t="s">
        <v>88</v>
      </c>
      <c r="E51" s="235" t="s">
        <v>151</v>
      </c>
      <c r="F51" s="235" t="s">
        <v>219</v>
      </c>
      <c r="G51" s="237">
        <v>1.06</v>
      </c>
      <c r="H51" s="238">
        <f>+I90</f>
        <v>538516</v>
      </c>
      <c r="I51" s="232">
        <f t="shared" si="2"/>
        <v>570827</v>
      </c>
      <c r="J51" s="232"/>
      <c r="L51" s="192"/>
      <c r="Q51" s="233"/>
    </row>
    <row r="52" spans="1:17" ht="31.2" x14ac:dyDescent="0.3">
      <c r="A52" s="265"/>
      <c r="B52" s="235"/>
      <c r="C52" s="235" t="s">
        <v>226</v>
      </c>
      <c r="D52" s="236" t="s">
        <v>67</v>
      </c>
      <c r="E52" s="235" t="s">
        <v>224</v>
      </c>
      <c r="F52" s="235" t="s">
        <v>223</v>
      </c>
      <c r="G52" s="237">
        <v>10</v>
      </c>
      <c r="H52" s="238">
        <v>1402</v>
      </c>
      <c r="I52" s="232">
        <f t="shared" si="2"/>
        <v>14020</v>
      </c>
      <c r="J52" s="232"/>
      <c r="L52" s="192"/>
      <c r="Q52" s="233"/>
    </row>
    <row r="53" spans="1:17" s="269" customFormat="1" x14ac:dyDescent="0.3">
      <c r="A53" s="266"/>
      <c r="B53" s="241"/>
      <c r="C53" s="241" t="s">
        <v>227</v>
      </c>
      <c r="D53" s="242" t="s">
        <v>73</v>
      </c>
      <c r="E53" s="241" t="s">
        <v>228</v>
      </c>
      <c r="F53" s="241" t="s">
        <v>229</v>
      </c>
      <c r="G53" s="243">
        <v>7.8E-2</v>
      </c>
      <c r="H53" s="244">
        <v>138578</v>
      </c>
      <c r="I53" s="267">
        <f t="shared" si="2"/>
        <v>10809</v>
      </c>
      <c r="J53" s="267"/>
      <c r="K53" s="268"/>
      <c r="Q53" s="270"/>
    </row>
    <row r="54" spans="1:17" s="248" customFormat="1" x14ac:dyDescent="0.3">
      <c r="B54" s="251"/>
      <c r="C54" s="251"/>
      <c r="D54" s="252"/>
      <c r="E54" s="251"/>
      <c r="F54" s="251"/>
      <c r="G54" s="253"/>
      <c r="H54" s="254"/>
      <c r="I54" s="249"/>
      <c r="J54" s="249"/>
      <c r="K54" s="247"/>
      <c r="Q54" s="250"/>
    </row>
    <row r="55" spans="1:17" ht="31.5" customHeight="1" x14ac:dyDescent="0.3">
      <c r="B55" s="255" t="s">
        <v>419</v>
      </c>
      <c r="C55" s="647" t="s">
        <v>155</v>
      </c>
      <c r="D55" s="648"/>
      <c r="E55" s="649"/>
      <c r="F55" s="256" t="s">
        <v>219</v>
      </c>
      <c r="G55" s="257"/>
      <c r="H55" s="258"/>
      <c r="I55" s="259">
        <f>SUM(I56:I62)</f>
        <v>524971</v>
      </c>
      <c r="J55" s="225"/>
      <c r="L55" s="192"/>
    </row>
    <row r="56" spans="1:17" x14ac:dyDescent="0.3">
      <c r="B56" s="226"/>
      <c r="C56" s="227" t="s">
        <v>221</v>
      </c>
      <c r="D56" s="228" t="s">
        <v>222</v>
      </c>
      <c r="E56" s="227" t="s">
        <v>69</v>
      </c>
      <c r="F56" s="227" t="s">
        <v>223</v>
      </c>
      <c r="G56" s="229">
        <v>0.5</v>
      </c>
      <c r="H56" s="230">
        <v>2679</v>
      </c>
      <c r="I56" s="231">
        <f t="shared" ref="I56:I62" si="3">ROUND((+H56*G56),0)</f>
        <v>1340</v>
      </c>
      <c r="J56" s="232"/>
      <c r="L56" s="192"/>
      <c r="Q56" s="233"/>
    </row>
    <row r="57" spans="1:17" ht="31.2" x14ac:dyDescent="0.3">
      <c r="B57" s="234"/>
      <c r="C57" s="235" t="s">
        <v>253</v>
      </c>
      <c r="D57" s="236" t="s">
        <v>85</v>
      </c>
      <c r="E57" s="235" t="s">
        <v>224</v>
      </c>
      <c r="F57" s="235" t="s">
        <v>225</v>
      </c>
      <c r="G57" s="237">
        <v>2.75</v>
      </c>
      <c r="H57" s="238">
        <f>+'Factor Prestacional'!D85</f>
        <v>47415</v>
      </c>
      <c r="I57" s="239">
        <f t="shared" si="3"/>
        <v>130391</v>
      </c>
      <c r="J57" s="232"/>
      <c r="L57" s="192"/>
      <c r="Q57" s="233"/>
    </row>
    <row r="58" spans="1:17" x14ac:dyDescent="0.3">
      <c r="B58" s="234"/>
      <c r="C58" s="235" t="s">
        <v>251</v>
      </c>
      <c r="D58" s="236" t="s">
        <v>54</v>
      </c>
      <c r="E58" s="235" t="s">
        <v>150</v>
      </c>
      <c r="F58" s="235" t="s">
        <v>219</v>
      </c>
      <c r="G58" s="237">
        <v>0.41199999999999998</v>
      </c>
      <c r="H58" s="238">
        <v>90333</v>
      </c>
      <c r="I58" s="239">
        <f t="shared" si="3"/>
        <v>37217</v>
      </c>
      <c r="J58" s="232"/>
      <c r="L58" s="192"/>
      <c r="Q58" s="233"/>
    </row>
    <row r="59" spans="1:17" ht="31.2" x14ac:dyDescent="0.3">
      <c r="B59" s="234"/>
      <c r="C59" s="235"/>
      <c r="D59" s="236" t="s">
        <v>428</v>
      </c>
      <c r="E59" s="235" t="s">
        <v>150</v>
      </c>
      <c r="F59" s="235" t="s">
        <v>409</v>
      </c>
      <c r="G59" s="237">
        <f>+(G58)*15</f>
        <v>6.18</v>
      </c>
      <c r="H59" s="238">
        <v>1500</v>
      </c>
      <c r="I59" s="239">
        <f t="shared" si="3"/>
        <v>9270</v>
      </c>
      <c r="J59" s="232"/>
      <c r="L59" s="192"/>
      <c r="Q59" s="233"/>
    </row>
    <row r="60" spans="1:17" x14ac:dyDescent="0.3">
      <c r="B60" s="234"/>
      <c r="C60" s="235" t="s">
        <v>252</v>
      </c>
      <c r="D60" s="236" t="s">
        <v>88</v>
      </c>
      <c r="E60" s="235" t="s">
        <v>151</v>
      </c>
      <c r="F60" s="235" t="s">
        <v>219</v>
      </c>
      <c r="G60" s="237">
        <v>0.61799999999999999</v>
      </c>
      <c r="H60" s="238">
        <f>+I90</f>
        <v>538516</v>
      </c>
      <c r="I60" s="239">
        <f t="shared" si="3"/>
        <v>332803</v>
      </c>
      <c r="J60" s="232"/>
      <c r="L60" s="192"/>
      <c r="Q60" s="233"/>
    </row>
    <row r="61" spans="1:17" x14ac:dyDescent="0.3">
      <c r="B61" s="234"/>
      <c r="C61" s="235" t="s">
        <v>254</v>
      </c>
      <c r="D61" s="236" t="s">
        <v>73</v>
      </c>
      <c r="E61" s="235" t="s">
        <v>228</v>
      </c>
      <c r="F61" s="235" t="s">
        <v>229</v>
      </c>
      <c r="G61" s="237">
        <v>4.3002630026300268E-2</v>
      </c>
      <c r="H61" s="238">
        <v>138578</v>
      </c>
      <c r="I61" s="239">
        <f t="shared" si="3"/>
        <v>5959</v>
      </c>
      <c r="J61" s="232"/>
      <c r="L61" s="192"/>
      <c r="Q61" s="233"/>
    </row>
    <row r="62" spans="1:17" ht="31.2" x14ac:dyDescent="0.3">
      <c r="B62" s="240"/>
      <c r="C62" s="241" t="s">
        <v>227</v>
      </c>
      <c r="D62" s="242" t="s">
        <v>67</v>
      </c>
      <c r="E62" s="241" t="s">
        <v>224</v>
      </c>
      <c r="F62" s="241" t="s">
        <v>223</v>
      </c>
      <c r="G62" s="243">
        <v>5.7</v>
      </c>
      <c r="H62" s="244">
        <v>1402</v>
      </c>
      <c r="I62" s="245">
        <f t="shared" si="3"/>
        <v>7991</v>
      </c>
      <c r="J62" s="232"/>
      <c r="L62" s="192"/>
      <c r="Q62" s="233"/>
    </row>
    <row r="63" spans="1:17" s="248" customFormat="1" x14ac:dyDescent="0.3">
      <c r="B63" s="251"/>
      <c r="C63" s="251"/>
      <c r="D63" s="252"/>
      <c r="E63" s="251"/>
      <c r="F63" s="251"/>
      <c r="G63" s="253"/>
      <c r="H63" s="254"/>
      <c r="I63" s="249"/>
      <c r="J63" s="249"/>
      <c r="K63" s="247"/>
      <c r="Q63" s="250"/>
    </row>
    <row r="64" spans="1:17" ht="31.5" customHeight="1" x14ac:dyDescent="0.3">
      <c r="B64" s="255" t="s">
        <v>420</v>
      </c>
      <c r="C64" s="647" t="s">
        <v>183</v>
      </c>
      <c r="D64" s="648"/>
      <c r="E64" s="649"/>
      <c r="F64" s="256" t="s">
        <v>230</v>
      </c>
      <c r="G64" s="257"/>
      <c r="H64" s="258"/>
      <c r="I64" s="259">
        <f>SUM(I65:I70)</f>
        <v>8459</v>
      </c>
      <c r="J64" s="225"/>
      <c r="L64" s="192"/>
    </row>
    <row r="65" spans="2:17" x14ac:dyDescent="0.3">
      <c r="B65" s="226"/>
      <c r="C65" s="227" t="s">
        <v>221</v>
      </c>
      <c r="D65" s="228" t="s">
        <v>222</v>
      </c>
      <c r="E65" s="227" t="s">
        <v>69</v>
      </c>
      <c r="F65" s="227" t="s">
        <v>223</v>
      </c>
      <c r="G65" s="229">
        <v>0.03</v>
      </c>
      <c r="H65" s="230">
        <v>2679</v>
      </c>
      <c r="I65" s="231">
        <f t="shared" ref="I65:I70" si="4">ROUND((+H65*G65),0)</f>
        <v>80</v>
      </c>
      <c r="J65" s="232"/>
      <c r="L65" s="192"/>
      <c r="Q65" s="233"/>
    </row>
    <row r="66" spans="2:17" ht="31.2" x14ac:dyDescent="0.3">
      <c r="B66" s="234"/>
      <c r="C66" s="235" t="s">
        <v>255</v>
      </c>
      <c r="D66" s="236" t="s">
        <v>87</v>
      </c>
      <c r="E66" s="235" t="s">
        <v>224</v>
      </c>
      <c r="F66" s="235" t="s">
        <v>225</v>
      </c>
      <c r="G66" s="237">
        <v>0.03</v>
      </c>
      <c r="H66" s="238">
        <f>+'Factor Prestacional'!D86</f>
        <v>55825</v>
      </c>
      <c r="I66" s="239">
        <f t="shared" si="4"/>
        <v>1675</v>
      </c>
      <c r="J66" s="232"/>
      <c r="L66" s="192"/>
      <c r="Q66" s="233"/>
    </row>
    <row r="67" spans="2:17" x14ac:dyDescent="0.3">
      <c r="B67" s="234"/>
      <c r="C67" s="235" t="s">
        <v>256</v>
      </c>
      <c r="D67" s="236" t="s">
        <v>257</v>
      </c>
      <c r="E67" s="235" t="s">
        <v>150</v>
      </c>
      <c r="F67" s="235" t="s">
        <v>230</v>
      </c>
      <c r="G67" s="237">
        <v>1.17</v>
      </c>
      <c r="H67" s="238">
        <v>5200</v>
      </c>
      <c r="I67" s="239">
        <f t="shared" si="4"/>
        <v>6084</v>
      </c>
      <c r="J67" s="232"/>
      <c r="L67" s="192"/>
      <c r="Q67" s="233"/>
    </row>
    <row r="68" spans="2:17" x14ac:dyDescent="0.3">
      <c r="B68" s="234"/>
      <c r="C68" s="235" t="s">
        <v>258</v>
      </c>
      <c r="D68" s="236" t="s">
        <v>259</v>
      </c>
      <c r="E68" s="235" t="s">
        <v>150</v>
      </c>
      <c r="F68" s="235" t="s">
        <v>230</v>
      </c>
      <c r="G68" s="237">
        <v>0.03</v>
      </c>
      <c r="H68" s="238">
        <v>8500</v>
      </c>
      <c r="I68" s="239">
        <f t="shared" si="4"/>
        <v>255</v>
      </c>
      <c r="J68" s="232"/>
      <c r="L68" s="192"/>
      <c r="Q68" s="233"/>
    </row>
    <row r="69" spans="2:17" ht="31.2" x14ac:dyDescent="0.3">
      <c r="B69" s="234"/>
      <c r="C69" s="235" t="s">
        <v>226</v>
      </c>
      <c r="D69" s="236" t="s">
        <v>67</v>
      </c>
      <c r="E69" s="235" t="s">
        <v>224</v>
      </c>
      <c r="F69" s="235" t="s">
        <v>223</v>
      </c>
      <c r="G69" s="237">
        <v>0.2</v>
      </c>
      <c r="H69" s="238">
        <v>1402</v>
      </c>
      <c r="I69" s="239">
        <f t="shared" si="4"/>
        <v>280</v>
      </c>
      <c r="J69" s="232"/>
      <c r="L69" s="192"/>
      <c r="Q69" s="233"/>
    </row>
    <row r="70" spans="2:17" x14ac:dyDescent="0.3">
      <c r="B70" s="240"/>
      <c r="C70" s="241" t="s">
        <v>227</v>
      </c>
      <c r="D70" s="242" t="s">
        <v>73</v>
      </c>
      <c r="E70" s="241" t="s">
        <v>228</v>
      </c>
      <c r="F70" s="241" t="s">
        <v>229</v>
      </c>
      <c r="G70" s="243">
        <v>6.1060610606106062E-4</v>
      </c>
      <c r="H70" s="244">
        <v>138578</v>
      </c>
      <c r="I70" s="245">
        <f t="shared" si="4"/>
        <v>85</v>
      </c>
      <c r="J70" s="232"/>
      <c r="L70" s="192"/>
      <c r="Q70" s="233"/>
    </row>
    <row r="71" spans="2:17" s="248" customFormat="1" x14ac:dyDescent="0.3">
      <c r="B71" s="251"/>
      <c r="C71" s="251"/>
      <c r="D71" s="252"/>
      <c r="E71" s="251"/>
      <c r="F71" s="251"/>
      <c r="G71" s="253"/>
      <c r="H71" s="254"/>
      <c r="I71" s="249"/>
      <c r="J71" s="249"/>
      <c r="K71" s="247"/>
      <c r="Q71" s="250"/>
    </row>
    <row r="72" spans="2:17" ht="31.5" customHeight="1" x14ac:dyDescent="0.3">
      <c r="B72" s="255" t="s">
        <v>421</v>
      </c>
      <c r="C72" s="647" t="s">
        <v>210</v>
      </c>
      <c r="D72" s="648"/>
      <c r="E72" s="649"/>
      <c r="F72" s="256" t="s">
        <v>219</v>
      </c>
      <c r="G72" s="257"/>
      <c r="H72" s="258"/>
      <c r="I72" s="259">
        <f>SUM(I73:I79)</f>
        <v>856872</v>
      </c>
      <c r="J72" s="225"/>
      <c r="L72" s="192"/>
    </row>
    <row r="73" spans="2:17" x14ac:dyDescent="0.3">
      <c r="B73" s="226"/>
      <c r="C73" s="227" t="s">
        <v>221</v>
      </c>
      <c r="D73" s="228" t="s">
        <v>222</v>
      </c>
      <c r="E73" s="227" t="s">
        <v>69</v>
      </c>
      <c r="F73" s="227" t="s">
        <v>223</v>
      </c>
      <c r="G73" s="229">
        <v>0.3</v>
      </c>
      <c r="H73" s="230">
        <v>2679</v>
      </c>
      <c r="I73" s="231">
        <f>ROUND((+H73*G73),0)</f>
        <v>804</v>
      </c>
      <c r="J73" s="232"/>
      <c r="L73" s="192"/>
      <c r="Q73" s="233"/>
    </row>
    <row r="74" spans="2:17" ht="31.2" x14ac:dyDescent="0.3">
      <c r="B74" s="234"/>
      <c r="C74" s="235" t="s">
        <v>53</v>
      </c>
      <c r="D74" s="236" t="s">
        <v>331</v>
      </c>
      <c r="E74" s="235" t="s">
        <v>224</v>
      </c>
      <c r="F74" s="235" t="s">
        <v>225</v>
      </c>
      <c r="G74" s="237">
        <v>4.5</v>
      </c>
      <c r="H74" s="238">
        <f>+'Factor Prestacional'!D90</f>
        <v>61190</v>
      </c>
      <c r="I74" s="239">
        <f t="shared" ref="I74:I79" si="5">ROUND((+H74*G74),0)</f>
        <v>275355</v>
      </c>
      <c r="J74" s="232"/>
      <c r="L74" s="192"/>
      <c r="Q74" s="233"/>
    </row>
    <row r="75" spans="2:17" ht="31.2" x14ac:dyDescent="0.3">
      <c r="B75" s="234"/>
      <c r="C75" s="235" t="s">
        <v>260</v>
      </c>
      <c r="D75" s="236" t="s">
        <v>81</v>
      </c>
      <c r="E75" s="235" t="s">
        <v>228</v>
      </c>
      <c r="F75" s="235" t="s">
        <v>229</v>
      </c>
      <c r="G75" s="237">
        <v>4</v>
      </c>
      <c r="H75" s="238">
        <v>374</v>
      </c>
      <c r="I75" s="239">
        <f t="shared" si="5"/>
        <v>1496</v>
      </c>
      <c r="J75" s="232"/>
      <c r="L75" s="192"/>
      <c r="Q75" s="233"/>
    </row>
    <row r="76" spans="2:17" x14ac:dyDescent="0.3">
      <c r="B76" s="234"/>
      <c r="C76" s="235" t="s">
        <v>252</v>
      </c>
      <c r="D76" s="236" t="s">
        <v>88</v>
      </c>
      <c r="E76" s="235" t="s">
        <v>151</v>
      </c>
      <c r="F76" s="235" t="s">
        <v>219</v>
      </c>
      <c r="G76" s="237">
        <v>1.05</v>
      </c>
      <c r="H76" s="238">
        <f>+I90</f>
        <v>538516</v>
      </c>
      <c r="I76" s="239">
        <f t="shared" si="5"/>
        <v>565442</v>
      </c>
      <c r="J76" s="232"/>
      <c r="L76" s="192"/>
      <c r="Q76" s="233"/>
    </row>
    <row r="77" spans="2:17" ht="31.2" x14ac:dyDescent="0.3">
      <c r="B77" s="234"/>
      <c r="C77" s="235" t="s">
        <v>261</v>
      </c>
      <c r="D77" s="236" t="s">
        <v>49</v>
      </c>
      <c r="E77" s="235" t="s">
        <v>150</v>
      </c>
      <c r="F77" s="235" t="s">
        <v>230</v>
      </c>
      <c r="G77" s="237">
        <v>0.09</v>
      </c>
      <c r="H77" s="238">
        <v>10893</v>
      </c>
      <c r="I77" s="239">
        <f t="shared" si="5"/>
        <v>980</v>
      </c>
      <c r="J77" s="232"/>
      <c r="L77" s="192"/>
      <c r="Q77" s="233"/>
    </row>
    <row r="78" spans="2:17" ht="31.2" x14ac:dyDescent="0.3">
      <c r="B78" s="234"/>
      <c r="C78" s="235" t="s">
        <v>226</v>
      </c>
      <c r="D78" s="236" t="s">
        <v>67</v>
      </c>
      <c r="E78" s="235" t="s">
        <v>224</v>
      </c>
      <c r="F78" s="235" t="s">
        <v>223</v>
      </c>
      <c r="G78" s="237">
        <v>2.6</v>
      </c>
      <c r="H78" s="238">
        <v>1402</v>
      </c>
      <c r="I78" s="239">
        <f t="shared" si="5"/>
        <v>3645</v>
      </c>
      <c r="J78" s="232"/>
      <c r="L78" s="192"/>
      <c r="Q78" s="233"/>
    </row>
    <row r="79" spans="2:17" x14ac:dyDescent="0.3">
      <c r="B79" s="240"/>
      <c r="C79" s="241" t="s">
        <v>227</v>
      </c>
      <c r="D79" s="242" t="s">
        <v>73</v>
      </c>
      <c r="E79" s="241" t="s">
        <v>228</v>
      </c>
      <c r="F79" s="241" t="s">
        <v>229</v>
      </c>
      <c r="G79" s="243">
        <v>6.6030000000000005E-2</v>
      </c>
      <c r="H79" s="244">
        <v>138578</v>
      </c>
      <c r="I79" s="245">
        <f t="shared" si="5"/>
        <v>9150</v>
      </c>
      <c r="J79" s="232"/>
      <c r="L79" s="192"/>
      <c r="Q79" s="233"/>
    </row>
    <row r="80" spans="2:17" s="248" customFormat="1" x14ac:dyDescent="0.3">
      <c r="B80" s="251"/>
      <c r="C80" s="251"/>
      <c r="D80" s="252"/>
      <c r="E80" s="251"/>
      <c r="F80" s="251"/>
      <c r="G80" s="253"/>
      <c r="H80" s="254"/>
      <c r="I80" s="249"/>
      <c r="J80" s="249"/>
      <c r="K80" s="247"/>
      <c r="Q80" s="250"/>
    </row>
    <row r="81" spans="2:17" ht="31.5" customHeight="1" x14ac:dyDescent="0.3">
      <c r="B81" s="271" t="s">
        <v>422</v>
      </c>
      <c r="C81" s="647" t="s">
        <v>203</v>
      </c>
      <c r="D81" s="648"/>
      <c r="E81" s="649"/>
      <c r="F81" s="256" t="s">
        <v>247</v>
      </c>
      <c r="G81" s="257"/>
      <c r="H81" s="258"/>
      <c r="I81" s="259">
        <f>SUM(I82:I88)</f>
        <v>67889</v>
      </c>
      <c r="J81" s="225"/>
      <c r="L81" s="192"/>
    </row>
    <row r="82" spans="2:17" x14ac:dyDescent="0.3">
      <c r="B82" s="226"/>
      <c r="C82" s="227" t="s">
        <v>221</v>
      </c>
      <c r="D82" s="228" t="s">
        <v>222</v>
      </c>
      <c r="E82" s="227" t="s">
        <v>69</v>
      </c>
      <c r="F82" s="227" t="s">
        <v>223</v>
      </c>
      <c r="G82" s="229">
        <v>1.5</v>
      </c>
      <c r="H82" s="230">
        <v>2679</v>
      </c>
      <c r="I82" s="231">
        <f>ROUND((+H82*G82),0)</f>
        <v>4019</v>
      </c>
      <c r="J82" s="232"/>
      <c r="L82" s="192"/>
      <c r="Q82" s="233"/>
    </row>
    <row r="83" spans="2:17" x14ac:dyDescent="0.3">
      <c r="B83" s="234"/>
      <c r="C83" s="235" t="s">
        <v>252</v>
      </c>
      <c r="D83" s="236" t="s">
        <v>88</v>
      </c>
      <c r="E83" s="235" t="s">
        <v>151</v>
      </c>
      <c r="F83" s="235" t="s">
        <v>219</v>
      </c>
      <c r="G83" s="237">
        <v>3.3000000000000002E-2</v>
      </c>
      <c r="H83" s="238">
        <f>+I90</f>
        <v>538516</v>
      </c>
      <c r="I83" s="239">
        <f t="shared" ref="I83:I88" si="6">ROUND((+H83*G83),0)</f>
        <v>17771</v>
      </c>
      <c r="J83" s="232"/>
      <c r="L83" s="192"/>
      <c r="Q83" s="233"/>
    </row>
    <row r="84" spans="2:17" x14ac:dyDescent="0.3">
      <c r="B84" s="234"/>
      <c r="C84" s="235" t="s">
        <v>262</v>
      </c>
      <c r="D84" s="236" t="s">
        <v>61</v>
      </c>
      <c r="E84" s="235" t="s">
        <v>150</v>
      </c>
      <c r="F84" s="235" t="s">
        <v>223</v>
      </c>
      <c r="G84" s="237">
        <v>0.01</v>
      </c>
      <c r="H84" s="238">
        <v>35912</v>
      </c>
      <c r="I84" s="239">
        <f t="shared" si="6"/>
        <v>359</v>
      </c>
      <c r="J84" s="232"/>
      <c r="L84" s="192"/>
      <c r="Q84" s="233"/>
    </row>
    <row r="85" spans="2:17" x14ac:dyDescent="0.3">
      <c r="B85" s="234"/>
      <c r="C85" s="235" t="s">
        <v>246</v>
      </c>
      <c r="D85" s="236" t="s">
        <v>62</v>
      </c>
      <c r="E85" s="235" t="s">
        <v>150</v>
      </c>
      <c r="F85" s="235" t="s">
        <v>247</v>
      </c>
      <c r="G85" s="237">
        <v>0.3</v>
      </c>
      <c r="H85" s="238">
        <v>3426</v>
      </c>
      <c r="I85" s="239">
        <f t="shared" si="6"/>
        <v>1028</v>
      </c>
      <c r="J85" s="232"/>
      <c r="L85" s="192"/>
      <c r="Q85" s="233"/>
    </row>
    <row r="86" spans="2:17" x14ac:dyDescent="0.3">
      <c r="B86" s="234"/>
      <c r="C86" s="235" t="s">
        <v>263</v>
      </c>
      <c r="D86" s="236" t="s">
        <v>64</v>
      </c>
      <c r="E86" s="235" t="s">
        <v>150</v>
      </c>
      <c r="F86" s="235" t="s">
        <v>223</v>
      </c>
      <c r="G86" s="237">
        <v>0.22</v>
      </c>
      <c r="H86" s="238">
        <v>11202</v>
      </c>
      <c r="I86" s="239">
        <f t="shared" si="6"/>
        <v>2464</v>
      </c>
      <c r="J86" s="232"/>
      <c r="L86" s="192"/>
      <c r="Q86" s="233"/>
    </row>
    <row r="87" spans="2:17" x14ac:dyDescent="0.3">
      <c r="B87" s="234"/>
      <c r="C87" s="235" t="s">
        <v>264</v>
      </c>
      <c r="D87" s="236" t="s">
        <v>57</v>
      </c>
      <c r="E87" s="235" t="s">
        <v>150</v>
      </c>
      <c r="F87" s="235" t="s">
        <v>250</v>
      </c>
      <c r="G87" s="237">
        <v>0.1</v>
      </c>
      <c r="H87" s="238">
        <v>3787</v>
      </c>
      <c r="I87" s="239">
        <f t="shared" si="6"/>
        <v>379</v>
      </c>
      <c r="J87" s="232"/>
      <c r="L87" s="192"/>
      <c r="Q87" s="233"/>
    </row>
    <row r="88" spans="2:17" ht="31.2" x14ac:dyDescent="0.3">
      <c r="B88" s="240"/>
      <c r="C88" s="241" t="s">
        <v>226</v>
      </c>
      <c r="D88" s="242" t="s">
        <v>87</v>
      </c>
      <c r="E88" s="241" t="s">
        <v>224</v>
      </c>
      <c r="F88" s="241" t="s">
        <v>225</v>
      </c>
      <c r="G88" s="243">
        <v>0.75</v>
      </c>
      <c r="H88" s="244">
        <f>+'Factor Prestacional'!D86</f>
        <v>55825</v>
      </c>
      <c r="I88" s="245">
        <f t="shared" si="6"/>
        <v>41869</v>
      </c>
      <c r="J88" s="232"/>
      <c r="L88" s="192"/>
      <c r="Q88" s="233"/>
    </row>
    <row r="89" spans="2:17" x14ac:dyDescent="0.3">
      <c r="L89" s="192"/>
    </row>
    <row r="90" spans="2:17" x14ac:dyDescent="0.3">
      <c r="B90" s="271" t="s">
        <v>252</v>
      </c>
      <c r="C90" s="647" t="s">
        <v>332</v>
      </c>
      <c r="D90" s="648"/>
      <c r="E90" s="649"/>
      <c r="F90" s="256" t="s">
        <v>219</v>
      </c>
      <c r="G90" s="257"/>
      <c r="H90" s="258"/>
      <c r="I90" s="259">
        <f>SUM(I91:I98)</f>
        <v>538516</v>
      </c>
      <c r="L90" s="192"/>
    </row>
    <row r="91" spans="2:17" x14ac:dyDescent="0.3">
      <c r="B91" s="226"/>
      <c r="C91" s="227" t="s">
        <v>221</v>
      </c>
      <c r="D91" s="228" t="s">
        <v>222</v>
      </c>
      <c r="E91" s="227" t="s">
        <v>69</v>
      </c>
      <c r="F91" s="227" t="s">
        <v>223</v>
      </c>
      <c r="G91" s="403">
        <v>1</v>
      </c>
      <c r="H91" s="230">
        <v>2679</v>
      </c>
      <c r="I91" s="231">
        <f>ROUND((+H91*G91),0)</f>
        <v>2679</v>
      </c>
      <c r="L91" s="192"/>
    </row>
    <row r="92" spans="2:17" x14ac:dyDescent="0.3">
      <c r="B92" s="234"/>
      <c r="C92" s="235" t="s">
        <v>402</v>
      </c>
      <c r="D92" s="236" t="s">
        <v>403</v>
      </c>
      <c r="E92" s="235" t="s">
        <v>69</v>
      </c>
      <c r="F92" s="235" t="s">
        <v>229</v>
      </c>
      <c r="G92" s="404">
        <v>0.25</v>
      </c>
      <c r="H92" s="238">
        <f>36538*1.2</f>
        <v>43845.599999999999</v>
      </c>
      <c r="I92" s="239">
        <f>ROUND((+H92*G92),0)</f>
        <v>10961</v>
      </c>
      <c r="L92" s="192"/>
    </row>
    <row r="93" spans="2:17" x14ac:dyDescent="0.3">
      <c r="B93" s="234"/>
      <c r="C93" s="235"/>
      <c r="D93" s="236" t="s">
        <v>407</v>
      </c>
      <c r="E93" s="235" t="s">
        <v>150</v>
      </c>
      <c r="F93" s="235" t="s">
        <v>408</v>
      </c>
      <c r="G93" s="404">
        <v>380</v>
      </c>
      <c r="H93" s="238">
        <v>720</v>
      </c>
      <c r="I93" s="239">
        <f t="shared" ref="I93:I98" si="7">ROUND((+H93*G93),0)</f>
        <v>273600</v>
      </c>
      <c r="L93" s="192"/>
    </row>
    <row r="94" spans="2:17" x14ac:dyDescent="0.3">
      <c r="B94" s="234"/>
      <c r="C94" s="235" t="s">
        <v>404</v>
      </c>
      <c r="D94" s="236" t="s">
        <v>405</v>
      </c>
      <c r="E94" s="235" t="s">
        <v>150</v>
      </c>
      <c r="F94" s="235" t="s">
        <v>219</v>
      </c>
      <c r="G94" s="404">
        <v>0.84</v>
      </c>
      <c r="H94" s="238">
        <v>105000</v>
      </c>
      <c r="I94" s="239">
        <f t="shared" si="7"/>
        <v>88200</v>
      </c>
      <c r="L94" s="192"/>
    </row>
    <row r="95" spans="2:17" x14ac:dyDescent="0.3">
      <c r="B95" s="234"/>
      <c r="C95" s="235"/>
      <c r="D95" s="236" t="s">
        <v>406</v>
      </c>
      <c r="E95" s="235" t="s">
        <v>150</v>
      </c>
      <c r="F95" s="235" t="s">
        <v>219</v>
      </c>
      <c r="G95" s="404">
        <v>0.55000000000000004</v>
      </c>
      <c r="H95" s="238">
        <v>75000</v>
      </c>
      <c r="I95" s="239">
        <f t="shared" si="7"/>
        <v>41250</v>
      </c>
    </row>
    <row r="96" spans="2:17" ht="31.2" x14ac:dyDescent="0.3">
      <c r="B96" s="234"/>
      <c r="C96" s="235"/>
      <c r="D96" s="236" t="s">
        <v>412</v>
      </c>
      <c r="E96" s="235" t="s">
        <v>150</v>
      </c>
      <c r="F96" s="235" t="s">
        <v>409</v>
      </c>
      <c r="G96" s="404">
        <f>+(G94+G95)*17</f>
        <v>23.630000000000003</v>
      </c>
      <c r="H96" s="238">
        <v>1500</v>
      </c>
      <c r="I96" s="239">
        <f t="shared" si="7"/>
        <v>35445</v>
      </c>
      <c r="J96" s="193"/>
    </row>
    <row r="97" spans="2:9" x14ac:dyDescent="0.3">
      <c r="B97" s="234"/>
      <c r="C97" s="235"/>
      <c r="D97" s="236" t="s">
        <v>410</v>
      </c>
      <c r="E97" s="235" t="s">
        <v>150</v>
      </c>
      <c r="F97" s="235" t="s">
        <v>411</v>
      </c>
      <c r="G97" s="404">
        <v>200</v>
      </c>
      <c r="H97" s="238">
        <v>100</v>
      </c>
      <c r="I97" s="239">
        <f t="shared" si="7"/>
        <v>20000</v>
      </c>
    </row>
    <row r="98" spans="2:9" ht="31.2" x14ac:dyDescent="0.3">
      <c r="B98" s="240"/>
      <c r="C98" s="241" t="s">
        <v>253</v>
      </c>
      <c r="D98" s="242" t="s">
        <v>85</v>
      </c>
      <c r="E98" s="241" t="s">
        <v>224</v>
      </c>
      <c r="F98" s="241" t="s">
        <v>225</v>
      </c>
      <c r="G98" s="405">
        <v>1.4</v>
      </c>
      <c r="H98" s="244">
        <f>+'Factor Prestacional'!D85</f>
        <v>47415</v>
      </c>
      <c r="I98" s="245">
        <f t="shared" si="7"/>
        <v>66381</v>
      </c>
    </row>
  </sheetData>
  <mergeCells count="19">
    <mergeCell ref="C90:E90"/>
    <mergeCell ref="D9:E9"/>
    <mergeCell ref="C10:E10"/>
    <mergeCell ref="C11:D11"/>
    <mergeCell ref="B2:I2"/>
    <mergeCell ref="B4:I4"/>
    <mergeCell ref="B5:I5"/>
    <mergeCell ref="B6:I6"/>
    <mergeCell ref="H7:I7"/>
    <mergeCell ref="C55:E55"/>
    <mergeCell ref="C64:E64"/>
    <mergeCell ref="C72:E72"/>
    <mergeCell ref="C81:E81"/>
    <mergeCell ref="C28:E28"/>
    <mergeCell ref="K11:L11"/>
    <mergeCell ref="C18:E18"/>
    <mergeCell ref="C23:E23"/>
    <mergeCell ref="C36:E36"/>
    <mergeCell ref="C44:E44"/>
  </mergeCells>
  <phoneticPr fontId="52" type="noConversion"/>
  <printOptions horizontalCentered="1"/>
  <pageMargins left="0.25" right="0.25" top="0.75" bottom="0.75" header="0.3" footer="0.3"/>
  <pageSetup scale="79" orientation="portrait" horizontalDpi="300" verticalDpi="300" r:id="rId1"/>
  <rowBreaks count="1" manualBreakCount="1">
    <brk id="26" min="1" max="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65"/>
  <sheetViews>
    <sheetView view="pageBreakPreview" topLeftCell="A25" zoomScale="85" zoomScaleNormal="100" zoomScaleSheetLayoutView="85" workbookViewId="0">
      <selection activeCell="E13" sqref="E13"/>
    </sheetView>
  </sheetViews>
  <sheetFormatPr baseColWidth="10" defaultRowHeight="13.2" x14ac:dyDescent="0.25"/>
  <cols>
    <col min="1" max="1" width="11.33203125" style="323" customWidth="1"/>
    <col min="2" max="2" width="54.5546875" style="322" customWidth="1"/>
    <col min="3" max="3" width="5.33203125" style="324" customWidth="1"/>
    <col min="4" max="4" width="12.33203125" style="325" bestFit="1" customWidth="1"/>
    <col min="5" max="5" width="14.44140625" style="325" bestFit="1" customWidth="1"/>
    <col min="6" max="6" width="15.109375" style="326" bestFit="1" customWidth="1"/>
    <col min="7" max="7" width="18.44140625" style="322" bestFit="1" customWidth="1"/>
    <col min="8" max="8" width="13.5546875" style="326" bestFit="1" customWidth="1"/>
    <col min="9" max="9" width="13.44140625" style="326" customWidth="1"/>
    <col min="10" max="10" width="13.33203125" style="333" bestFit="1" customWidth="1"/>
    <col min="11" max="11" width="2.88671875" style="321" customWidth="1"/>
    <col min="12" max="254" width="11.44140625" style="322"/>
    <col min="255" max="255" width="11.33203125" style="322" customWidth="1"/>
    <col min="256" max="256" width="54.5546875" style="322" bestFit="1" customWidth="1"/>
    <col min="257" max="257" width="5.33203125" style="322" customWidth="1"/>
    <col min="258" max="258" width="12.33203125" style="322" bestFit="1" customWidth="1"/>
    <col min="259" max="259" width="14.44140625" style="322" bestFit="1" customWidth="1"/>
    <col min="260" max="260" width="15.109375" style="322" bestFit="1" customWidth="1"/>
    <col min="261" max="261" width="18.44140625" style="322" bestFit="1" customWidth="1"/>
    <col min="262" max="262" width="13.5546875" style="322" bestFit="1" customWidth="1"/>
    <col min="263" max="263" width="12" style="322" bestFit="1" customWidth="1"/>
    <col min="264" max="264" width="13.33203125" style="322" bestFit="1" customWidth="1"/>
    <col min="265" max="265" width="2.88671875" style="322" customWidth="1"/>
    <col min="266" max="510" width="11.44140625" style="322"/>
    <col min="511" max="511" width="11.33203125" style="322" customWidth="1"/>
    <col min="512" max="512" width="54.5546875" style="322" bestFit="1" customWidth="1"/>
    <col min="513" max="513" width="5.33203125" style="322" customWidth="1"/>
    <col min="514" max="514" width="12.33203125" style="322" bestFit="1" customWidth="1"/>
    <col min="515" max="515" width="14.44140625" style="322" bestFit="1" customWidth="1"/>
    <col min="516" max="516" width="15.109375" style="322" bestFit="1" customWidth="1"/>
    <col min="517" max="517" width="18.44140625" style="322" bestFit="1" customWidth="1"/>
    <col min="518" max="518" width="13.5546875" style="322" bestFit="1" customWidth="1"/>
    <col min="519" max="519" width="12" style="322" bestFit="1" customWidth="1"/>
    <col min="520" max="520" width="13.33203125" style="322" bestFit="1" customWidth="1"/>
    <col min="521" max="521" width="2.88671875" style="322" customWidth="1"/>
    <col min="522" max="766" width="11.44140625" style="322"/>
    <col min="767" max="767" width="11.33203125" style="322" customWidth="1"/>
    <col min="768" max="768" width="54.5546875" style="322" bestFit="1" customWidth="1"/>
    <col min="769" max="769" width="5.33203125" style="322" customWidth="1"/>
    <col min="770" max="770" width="12.33203125" style="322" bestFit="1" customWidth="1"/>
    <col min="771" max="771" width="14.44140625" style="322" bestFit="1" customWidth="1"/>
    <col min="772" max="772" width="15.109375" style="322" bestFit="1" customWidth="1"/>
    <col min="773" max="773" width="18.44140625" style="322" bestFit="1" customWidth="1"/>
    <col min="774" max="774" width="13.5546875" style="322" bestFit="1" customWidth="1"/>
    <col min="775" max="775" width="12" style="322" bestFit="1" customWidth="1"/>
    <col min="776" max="776" width="13.33203125" style="322" bestFit="1" customWidth="1"/>
    <col min="777" max="777" width="2.88671875" style="322" customWidth="1"/>
    <col min="778" max="1022" width="11.44140625" style="322"/>
    <col min="1023" max="1023" width="11.33203125" style="322" customWidth="1"/>
    <col min="1024" max="1024" width="54.5546875" style="322" bestFit="1" customWidth="1"/>
    <col min="1025" max="1025" width="5.33203125" style="322" customWidth="1"/>
    <col min="1026" max="1026" width="12.33203125" style="322" bestFit="1" customWidth="1"/>
    <col min="1027" max="1027" width="14.44140625" style="322" bestFit="1" customWidth="1"/>
    <col min="1028" max="1028" width="15.109375" style="322" bestFit="1" customWidth="1"/>
    <col min="1029" max="1029" width="18.44140625" style="322" bestFit="1" customWidth="1"/>
    <col min="1030" max="1030" width="13.5546875" style="322" bestFit="1" customWidth="1"/>
    <col min="1031" max="1031" width="12" style="322" bestFit="1" customWidth="1"/>
    <col min="1032" max="1032" width="13.33203125" style="322" bestFit="1" customWidth="1"/>
    <col min="1033" max="1033" width="2.88671875" style="322" customWidth="1"/>
    <col min="1034" max="1278" width="11.44140625" style="322"/>
    <col min="1279" max="1279" width="11.33203125" style="322" customWidth="1"/>
    <col min="1280" max="1280" width="54.5546875" style="322" bestFit="1" customWidth="1"/>
    <col min="1281" max="1281" width="5.33203125" style="322" customWidth="1"/>
    <col min="1282" max="1282" width="12.33203125" style="322" bestFit="1" customWidth="1"/>
    <col min="1283" max="1283" width="14.44140625" style="322" bestFit="1" customWidth="1"/>
    <col min="1284" max="1284" width="15.109375" style="322" bestFit="1" customWidth="1"/>
    <col min="1285" max="1285" width="18.44140625" style="322" bestFit="1" customWidth="1"/>
    <col min="1286" max="1286" width="13.5546875" style="322" bestFit="1" customWidth="1"/>
    <col min="1287" max="1287" width="12" style="322" bestFit="1" customWidth="1"/>
    <col min="1288" max="1288" width="13.33203125" style="322" bestFit="1" customWidth="1"/>
    <col min="1289" max="1289" width="2.88671875" style="322" customWidth="1"/>
    <col min="1290" max="1534" width="11.44140625" style="322"/>
    <col min="1535" max="1535" width="11.33203125" style="322" customWidth="1"/>
    <col min="1536" max="1536" width="54.5546875" style="322" bestFit="1" customWidth="1"/>
    <col min="1537" max="1537" width="5.33203125" style="322" customWidth="1"/>
    <col min="1538" max="1538" width="12.33203125" style="322" bestFit="1" customWidth="1"/>
    <col min="1539" max="1539" width="14.44140625" style="322" bestFit="1" customWidth="1"/>
    <col min="1540" max="1540" width="15.109375" style="322" bestFit="1" customWidth="1"/>
    <col min="1541" max="1541" width="18.44140625" style="322" bestFit="1" customWidth="1"/>
    <col min="1542" max="1542" width="13.5546875" style="322" bestFit="1" customWidth="1"/>
    <col min="1543" max="1543" width="12" style="322" bestFit="1" customWidth="1"/>
    <col min="1544" max="1544" width="13.33203125" style="322" bestFit="1" customWidth="1"/>
    <col min="1545" max="1545" width="2.88671875" style="322" customWidth="1"/>
    <col min="1546" max="1790" width="11.44140625" style="322"/>
    <col min="1791" max="1791" width="11.33203125" style="322" customWidth="1"/>
    <col min="1792" max="1792" width="54.5546875" style="322" bestFit="1" customWidth="1"/>
    <col min="1793" max="1793" width="5.33203125" style="322" customWidth="1"/>
    <col min="1794" max="1794" width="12.33203125" style="322" bestFit="1" customWidth="1"/>
    <col min="1795" max="1795" width="14.44140625" style="322" bestFit="1" customWidth="1"/>
    <col min="1796" max="1796" width="15.109375" style="322" bestFit="1" customWidth="1"/>
    <col min="1797" max="1797" width="18.44140625" style="322" bestFit="1" customWidth="1"/>
    <col min="1798" max="1798" width="13.5546875" style="322" bestFit="1" customWidth="1"/>
    <col min="1799" max="1799" width="12" style="322" bestFit="1" customWidth="1"/>
    <col min="1800" max="1800" width="13.33203125" style="322" bestFit="1" customWidth="1"/>
    <col min="1801" max="1801" width="2.88671875" style="322" customWidth="1"/>
    <col min="1802" max="2046" width="11.44140625" style="322"/>
    <col min="2047" max="2047" width="11.33203125" style="322" customWidth="1"/>
    <col min="2048" max="2048" width="54.5546875" style="322" bestFit="1" customWidth="1"/>
    <col min="2049" max="2049" width="5.33203125" style="322" customWidth="1"/>
    <col min="2050" max="2050" width="12.33203125" style="322" bestFit="1" customWidth="1"/>
    <col min="2051" max="2051" width="14.44140625" style="322" bestFit="1" customWidth="1"/>
    <col min="2052" max="2052" width="15.109375" style="322" bestFit="1" customWidth="1"/>
    <col min="2053" max="2053" width="18.44140625" style="322" bestFit="1" customWidth="1"/>
    <col min="2054" max="2054" width="13.5546875" style="322" bestFit="1" customWidth="1"/>
    <col min="2055" max="2055" width="12" style="322" bestFit="1" customWidth="1"/>
    <col min="2056" max="2056" width="13.33203125" style="322" bestFit="1" customWidth="1"/>
    <col min="2057" max="2057" width="2.88671875" style="322" customWidth="1"/>
    <col min="2058" max="2302" width="11.44140625" style="322"/>
    <col min="2303" max="2303" width="11.33203125" style="322" customWidth="1"/>
    <col min="2304" max="2304" width="54.5546875" style="322" bestFit="1" customWidth="1"/>
    <col min="2305" max="2305" width="5.33203125" style="322" customWidth="1"/>
    <col min="2306" max="2306" width="12.33203125" style="322" bestFit="1" customWidth="1"/>
    <col min="2307" max="2307" width="14.44140625" style="322" bestFit="1" customWidth="1"/>
    <col min="2308" max="2308" width="15.109375" style="322" bestFit="1" customWidth="1"/>
    <col min="2309" max="2309" width="18.44140625" style="322" bestFit="1" customWidth="1"/>
    <col min="2310" max="2310" width="13.5546875" style="322" bestFit="1" customWidth="1"/>
    <col min="2311" max="2311" width="12" style="322" bestFit="1" customWidth="1"/>
    <col min="2312" max="2312" width="13.33203125" style="322" bestFit="1" customWidth="1"/>
    <col min="2313" max="2313" width="2.88671875" style="322" customWidth="1"/>
    <col min="2314" max="2558" width="11.44140625" style="322"/>
    <col min="2559" max="2559" width="11.33203125" style="322" customWidth="1"/>
    <col min="2560" max="2560" width="54.5546875" style="322" bestFit="1" customWidth="1"/>
    <col min="2561" max="2561" width="5.33203125" style="322" customWidth="1"/>
    <col min="2562" max="2562" width="12.33203125" style="322" bestFit="1" customWidth="1"/>
    <col min="2563" max="2563" width="14.44140625" style="322" bestFit="1" customWidth="1"/>
    <col min="2564" max="2564" width="15.109375" style="322" bestFit="1" customWidth="1"/>
    <col min="2565" max="2565" width="18.44140625" style="322" bestFit="1" customWidth="1"/>
    <col min="2566" max="2566" width="13.5546875" style="322" bestFit="1" customWidth="1"/>
    <col min="2567" max="2567" width="12" style="322" bestFit="1" customWidth="1"/>
    <col min="2568" max="2568" width="13.33203125" style="322" bestFit="1" customWidth="1"/>
    <col min="2569" max="2569" width="2.88671875" style="322" customWidth="1"/>
    <col min="2570" max="2814" width="11.44140625" style="322"/>
    <col min="2815" max="2815" width="11.33203125" style="322" customWidth="1"/>
    <col min="2816" max="2816" width="54.5546875" style="322" bestFit="1" customWidth="1"/>
    <col min="2817" max="2817" width="5.33203125" style="322" customWidth="1"/>
    <col min="2818" max="2818" width="12.33203125" style="322" bestFit="1" customWidth="1"/>
    <col min="2819" max="2819" width="14.44140625" style="322" bestFit="1" customWidth="1"/>
    <col min="2820" max="2820" width="15.109375" style="322" bestFit="1" customWidth="1"/>
    <col min="2821" max="2821" width="18.44140625" style="322" bestFit="1" customWidth="1"/>
    <col min="2822" max="2822" width="13.5546875" style="322" bestFit="1" customWidth="1"/>
    <col min="2823" max="2823" width="12" style="322" bestFit="1" customWidth="1"/>
    <col min="2824" max="2824" width="13.33203125" style="322" bestFit="1" customWidth="1"/>
    <col min="2825" max="2825" width="2.88671875" style="322" customWidth="1"/>
    <col min="2826" max="3070" width="11.44140625" style="322"/>
    <col min="3071" max="3071" width="11.33203125" style="322" customWidth="1"/>
    <col min="3072" max="3072" width="54.5546875" style="322" bestFit="1" customWidth="1"/>
    <col min="3073" max="3073" width="5.33203125" style="322" customWidth="1"/>
    <col min="3074" max="3074" width="12.33203125" style="322" bestFit="1" customWidth="1"/>
    <col min="3075" max="3075" width="14.44140625" style="322" bestFit="1" customWidth="1"/>
    <col min="3076" max="3076" width="15.109375" style="322" bestFit="1" customWidth="1"/>
    <col min="3077" max="3077" width="18.44140625" style="322" bestFit="1" customWidth="1"/>
    <col min="3078" max="3078" width="13.5546875" style="322" bestFit="1" customWidth="1"/>
    <col min="3079" max="3079" width="12" style="322" bestFit="1" customWidth="1"/>
    <col min="3080" max="3080" width="13.33203125" style="322" bestFit="1" customWidth="1"/>
    <col min="3081" max="3081" width="2.88671875" style="322" customWidth="1"/>
    <col min="3082" max="3326" width="11.44140625" style="322"/>
    <col min="3327" max="3327" width="11.33203125" style="322" customWidth="1"/>
    <col min="3328" max="3328" width="54.5546875" style="322" bestFit="1" customWidth="1"/>
    <col min="3329" max="3329" width="5.33203125" style="322" customWidth="1"/>
    <col min="3330" max="3330" width="12.33203125" style="322" bestFit="1" customWidth="1"/>
    <col min="3331" max="3331" width="14.44140625" style="322" bestFit="1" customWidth="1"/>
    <col min="3332" max="3332" width="15.109375" style="322" bestFit="1" customWidth="1"/>
    <col min="3333" max="3333" width="18.44140625" style="322" bestFit="1" customWidth="1"/>
    <col min="3334" max="3334" width="13.5546875" style="322" bestFit="1" customWidth="1"/>
    <col min="3335" max="3335" width="12" style="322" bestFit="1" customWidth="1"/>
    <col min="3336" max="3336" width="13.33203125" style="322" bestFit="1" customWidth="1"/>
    <col min="3337" max="3337" width="2.88671875" style="322" customWidth="1"/>
    <col min="3338" max="3582" width="11.44140625" style="322"/>
    <col min="3583" max="3583" width="11.33203125" style="322" customWidth="1"/>
    <col min="3584" max="3584" width="54.5546875" style="322" bestFit="1" customWidth="1"/>
    <col min="3585" max="3585" width="5.33203125" style="322" customWidth="1"/>
    <col min="3586" max="3586" width="12.33203125" style="322" bestFit="1" customWidth="1"/>
    <col min="3587" max="3587" width="14.44140625" style="322" bestFit="1" customWidth="1"/>
    <col min="3588" max="3588" width="15.109375" style="322" bestFit="1" customWidth="1"/>
    <col min="3589" max="3589" width="18.44140625" style="322" bestFit="1" customWidth="1"/>
    <col min="3590" max="3590" width="13.5546875" style="322" bestFit="1" customWidth="1"/>
    <col min="3591" max="3591" width="12" style="322" bestFit="1" customWidth="1"/>
    <col min="3592" max="3592" width="13.33203125" style="322" bestFit="1" customWidth="1"/>
    <col min="3593" max="3593" width="2.88671875" style="322" customWidth="1"/>
    <col min="3594" max="3838" width="11.44140625" style="322"/>
    <col min="3839" max="3839" width="11.33203125" style="322" customWidth="1"/>
    <col min="3840" max="3840" width="54.5546875" style="322" bestFit="1" customWidth="1"/>
    <col min="3841" max="3841" width="5.33203125" style="322" customWidth="1"/>
    <col min="3842" max="3842" width="12.33203125" style="322" bestFit="1" customWidth="1"/>
    <col min="3843" max="3843" width="14.44140625" style="322" bestFit="1" customWidth="1"/>
    <col min="3844" max="3844" width="15.109375" style="322" bestFit="1" customWidth="1"/>
    <col min="3845" max="3845" width="18.44140625" style="322" bestFit="1" customWidth="1"/>
    <col min="3846" max="3846" width="13.5546875" style="322" bestFit="1" customWidth="1"/>
    <col min="3847" max="3847" width="12" style="322" bestFit="1" customWidth="1"/>
    <col min="3848" max="3848" width="13.33203125" style="322" bestFit="1" customWidth="1"/>
    <col min="3849" max="3849" width="2.88671875" style="322" customWidth="1"/>
    <col min="3850" max="4094" width="11.44140625" style="322"/>
    <col min="4095" max="4095" width="11.33203125" style="322" customWidth="1"/>
    <col min="4096" max="4096" width="54.5546875" style="322" bestFit="1" customWidth="1"/>
    <col min="4097" max="4097" width="5.33203125" style="322" customWidth="1"/>
    <col min="4098" max="4098" width="12.33203125" style="322" bestFit="1" customWidth="1"/>
    <col min="4099" max="4099" width="14.44140625" style="322" bestFit="1" customWidth="1"/>
    <col min="4100" max="4100" width="15.109375" style="322" bestFit="1" customWidth="1"/>
    <col min="4101" max="4101" width="18.44140625" style="322" bestFit="1" customWidth="1"/>
    <col min="4102" max="4102" width="13.5546875" style="322" bestFit="1" customWidth="1"/>
    <col min="4103" max="4103" width="12" style="322" bestFit="1" customWidth="1"/>
    <col min="4104" max="4104" width="13.33203125" style="322" bestFit="1" customWidth="1"/>
    <col min="4105" max="4105" width="2.88671875" style="322" customWidth="1"/>
    <col min="4106" max="4350" width="11.44140625" style="322"/>
    <col min="4351" max="4351" width="11.33203125" style="322" customWidth="1"/>
    <col min="4352" max="4352" width="54.5546875" style="322" bestFit="1" customWidth="1"/>
    <col min="4353" max="4353" width="5.33203125" style="322" customWidth="1"/>
    <col min="4354" max="4354" width="12.33203125" style="322" bestFit="1" customWidth="1"/>
    <col min="4355" max="4355" width="14.44140625" style="322" bestFit="1" customWidth="1"/>
    <col min="4356" max="4356" width="15.109375" style="322" bestFit="1" customWidth="1"/>
    <col min="4357" max="4357" width="18.44140625" style="322" bestFit="1" customWidth="1"/>
    <col min="4358" max="4358" width="13.5546875" style="322" bestFit="1" customWidth="1"/>
    <col min="4359" max="4359" width="12" style="322" bestFit="1" customWidth="1"/>
    <col min="4360" max="4360" width="13.33203125" style="322" bestFit="1" customWidth="1"/>
    <col min="4361" max="4361" width="2.88671875" style="322" customWidth="1"/>
    <col min="4362" max="4606" width="11.44140625" style="322"/>
    <col min="4607" max="4607" width="11.33203125" style="322" customWidth="1"/>
    <col min="4608" max="4608" width="54.5546875" style="322" bestFit="1" customWidth="1"/>
    <col min="4609" max="4609" width="5.33203125" style="322" customWidth="1"/>
    <col min="4610" max="4610" width="12.33203125" style="322" bestFit="1" customWidth="1"/>
    <col min="4611" max="4611" width="14.44140625" style="322" bestFit="1" customWidth="1"/>
    <col min="4612" max="4612" width="15.109375" style="322" bestFit="1" customWidth="1"/>
    <col min="4613" max="4613" width="18.44140625" style="322" bestFit="1" customWidth="1"/>
    <col min="4614" max="4614" width="13.5546875" style="322" bestFit="1" customWidth="1"/>
    <col min="4615" max="4615" width="12" style="322" bestFit="1" customWidth="1"/>
    <col min="4616" max="4616" width="13.33203125" style="322" bestFit="1" customWidth="1"/>
    <col min="4617" max="4617" width="2.88671875" style="322" customWidth="1"/>
    <col min="4618" max="4862" width="11.44140625" style="322"/>
    <col min="4863" max="4863" width="11.33203125" style="322" customWidth="1"/>
    <col min="4864" max="4864" width="54.5546875" style="322" bestFit="1" customWidth="1"/>
    <col min="4865" max="4865" width="5.33203125" style="322" customWidth="1"/>
    <col min="4866" max="4866" width="12.33203125" style="322" bestFit="1" customWidth="1"/>
    <col min="4867" max="4867" width="14.44140625" style="322" bestFit="1" customWidth="1"/>
    <col min="4868" max="4868" width="15.109375" style="322" bestFit="1" customWidth="1"/>
    <col min="4869" max="4869" width="18.44140625" style="322" bestFit="1" customWidth="1"/>
    <col min="4870" max="4870" width="13.5546875" style="322" bestFit="1" customWidth="1"/>
    <col min="4871" max="4871" width="12" style="322" bestFit="1" customWidth="1"/>
    <col min="4872" max="4872" width="13.33203125" style="322" bestFit="1" customWidth="1"/>
    <col min="4873" max="4873" width="2.88671875" style="322" customWidth="1"/>
    <col min="4874" max="5118" width="11.44140625" style="322"/>
    <col min="5119" max="5119" width="11.33203125" style="322" customWidth="1"/>
    <col min="5120" max="5120" width="54.5546875" style="322" bestFit="1" customWidth="1"/>
    <col min="5121" max="5121" width="5.33203125" style="322" customWidth="1"/>
    <col min="5122" max="5122" width="12.33203125" style="322" bestFit="1" customWidth="1"/>
    <col min="5123" max="5123" width="14.44140625" style="322" bestFit="1" customWidth="1"/>
    <col min="5124" max="5124" width="15.109375" style="322" bestFit="1" customWidth="1"/>
    <col min="5125" max="5125" width="18.44140625" style="322" bestFit="1" customWidth="1"/>
    <col min="5126" max="5126" width="13.5546875" style="322" bestFit="1" customWidth="1"/>
    <col min="5127" max="5127" width="12" style="322" bestFit="1" customWidth="1"/>
    <col min="5128" max="5128" width="13.33203125" style="322" bestFit="1" customWidth="1"/>
    <col min="5129" max="5129" width="2.88671875" style="322" customWidth="1"/>
    <col min="5130" max="5374" width="11.44140625" style="322"/>
    <col min="5375" max="5375" width="11.33203125" style="322" customWidth="1"/>
    <col min="5376" max="5376" width="54.5546875" style="322" bestFit="1" customWidth="1"/>
    <col min="5377" max="5377" width="5.33203125" style="322" customWidth="1"/>
    <col min="5378" max="5378" width="12.33203125" style="322" bestFit="1" customWidth="1"/>
    <col min="5379" max="5379" width="14.44140625" style="322" bestFit="1" customWidth="1"/>
    <col min="5380" max="5380" width="15.109375" style="322" bestFit="1" customWidth="1"/>
    <col min="5381" max="5381" width="18.44140625" style="322" bestFit="1" customWidth="1"/>
    <col min="5382" max="5382" width="13.5546875" style="322" bestFit="1" customWidth="1"/>
    <col min="5383" max="5383" width="12" style="322" bestFit="1" customWidth="1"/>
    <col min="5384" max="5384" width="13.33203125" style="322" bestFit="1" customWidth="1"/>
    <col min="5385" max="5385" width="2.88671875" style="322" customWidth="1"/>
    <col min="5386" max="5630" width="11.44140625" style="322"/>
    <col min="5631" max="5631" width="11.33203125" style="322" customWidth="1"/>
    <col min="5632" max="5632" width="54.5546875" style="322" bestFit="1" customWidth="1"/>
    <col min="5633" max="5633" width="5.33203125" style="322" customWidth="1"/>
    <col min="5634" max="5634" width="12.33203125" style="322" bestFit="1" customWidth="1"/>
    <col min="5635" max="5635" width="14.44140625" style="322" bestFit="1" customWidth="1"/>
    <col min="5636" max="5636" width="15.109375" style="322" bestFit="1" customWidth="1"/>
    <col min="5637" max="5637" width="18.44140625" style="322" bestFit="1" customWidth="1"/>
    <col min="5638" max="5638" width="13.5546875" style="322" bestFit="1" customWidth="1"/>
    <col min="5639" max="5639" width="12" style="322" bestFit="1" customWidth="1"/>
    <col min="5640" max="5640" width="13.33203125" style="322" bestFit="1" customWidth="1"/>
    <col min="5641" max="5641" width="2.88671875" style="322" customWidth="1"/>
    <col min="5642" max="5886" width="11.44140625" style="322"/>
    <col min="5887" max="5887" width="11.33203125" style="322" customWidth="1"/>
    <col min="5888" max="5888" width="54.5546875" style="322" bestFit="1" customWidth="1"/>
    <col min="5889" max="5889" width="5.33203125" style="322" customWidth="1"/>
    <col min="5890" max="5890" width="12.33203125" style="322" bestFit="1" customWidth="1"/>
    <col min="5891" max="5891" width="14.44140625" style="322" bestFit="1" customWidth="1"/>
    <col min="5892" max="5892" width="15.109375" style="322" bestFit="1" customWidth="1"/>
    <col min="5893" max="5893" width="18.44140625" style="322" bestFit="1" customWidth="1"/>
    <col min="5894" max="5894" width="13.5546875" style="322" bestFit="1" customWidth="1"/>
    <col min="5895" max="5895" width="12" style="322" bestFit="1" customWidth="1"/>
    <col min="5896" max="5896" width="13.33203125" style="322" bestFit="1" customWidth="1"/>
    <col min="5897" max="5897" width="2.88671875" style="322" customWidth="1"/>
    <col min="5898" max="6142" width="11.44140625" style="322"/>
    <col min="6143" max="6143" width="11.33203125" style="322" customWidth="1"/>
    <col min="6144" max="6144" width="54.5546875" style="322" bestFit="1" customWidth="1"/>
    <col min="6145" max="6145" width="5.33203125" style="322" customWidth="1"/>
    <col min="6146" max="6146" width="12.33203125" style="322" bestFit="1" customWidth="1"/>
    <col min="6147" max="6147" width="14.44140625" style="322" bestFit="1" customWidth="1"/>
    <col min="6148" max="6148" width="15.109375" style="322" bestFit="1" customWidth="1"/>
    <col min="6149" max="6149" width="18.44140625" style="322" bestFit="1" customWidth="1"/>
    <col min="6150" max="6150" width="13.5546875" style="322" bestFit="1" customWidth="1"/>
    <col min="6151" max="6151" width="12" style="322" bestFit="1" customWidth="1"/>
    <col min="6152" max="6152" width="13.33203125" style="322" bestFit="1" customWidth="1"/>
    <col min="6153" max="6153" width="2.88671875" style="322" customWidth="1"/>
    <col min="6154" max="6398" width="11.44140625" style="322"/>
    <col min="6399" max="6399" width="11.33203125" style="322" customWidth="1"/>
    <col min="6400" max="6400" width="54.5546875" style="322" bestFit="1" customWidth="1"/>
    <col min="6401" max="6401" width="5.33203125" style="322" customWidth="1"/>
    <col min="6402" max="6402" width="12.33203125" style="322" bestFit="1" customWidth="1"/>
    <col min="6403" max="6403" width="14.44140625" style="322" bestFit="1" customWidth="1"/>
    <col min="6404" max="6404" width="15.109375" style="322" bestFit="1" customWidth="1"/>
    <col min="6405" max="6405" width="18.44140625" style="322" bestFit="1" customWidth="1"/>
    <col min="6406" max="6406" width="13.5546875" style="322" bestFit="1" customWidth="1"/>
    <col min="6407" max="6407" width="12" style="322" bestFit="1" customWidth="1"/>
    <col min="6408" max="6408" width="13.33203125" style="322" bestFit="1" customWidth="1"/>
    <col min="6409" max="6409" width="2.88671875" style="322" customWidth="1"/>
    <col min="6410" max="6654" width="11.44140625" style="322"/>
    <col min="6655" max="6655" width="11.33203125" style="322" customWidth="1"/>
    <col min="6656" max="6656" width="54.5546875" style="322" bestFit="1" customWidth="1"/>
    <col min="6657" max="6657" width="5.33203125" style="322" customWidth="1"/>
    <col min="6658" max="6658" width="12.33203125" style="322" bestFit="1" customWidth="1"/>
    <col min="6659" max="6659" width="14.44140625" style="322" bestFit="1" customWidth="1"/>
    <col min="6660" max="6660" width="15.109375" style="322" bestFit="1" customWidth="1"/>
    <col min="6661" max="6661" width="18.44140625" style="322" bestFit="1" customWidth="1"/>
    <col min="6662" max="6662" width="13.5546875" style="322" bestFit="1" customWidth="1"/>
    <col min="6663" max="6663" width="12" style="322" bestFit="1" customWidth="1"/>
    <col min="6664" max="6664" width="13.33203125" style="322" bestFit="1" customWidth="1"/>
    <col min="6665" max="6665" width="2.88671875" style="322" customWidth="1"/>
    <col min="6666" max="6910" width="11.44140625" style="322"/>
    <col min="6911" max="6911" width="11.33203125" style="322" customWidth="1"/>
    <col min="6912" max="6912" width="54.5546875" style="322" bestFit="1" customWidth="1"/>
    <col min="6913" max="6913" width="5.33203125" style="322" customWidth="1"/>
    <col min="6914" max="6914" width="12.33203125" style="322" bestFit="1" customWidth="1"/>
    <col min="6915" max="6915" width="14.44140625" style="322" bestFit="1" customWidth="1"/>
    <col min="6916" max="6916" width="15.109375" style="322" bestFit="1" customWidth="1"/>
    <col min="6917" max="6917" width="18.44140625" style="322" bestFit="1" customWidth="1"/>
    <col min="6918" max="6918" width="13.5546875" style="322" bestFit="1" customWidth="1"/>
    <col min="6919" max="6919" width="12" style="322" bestFit="1" customWidth="1"/>
    <col min="6920" max="6920" width="13.33203125" style="322" bestFit="1" customWidth="1"/>
    <col min="6921" max="6921" width="2.88671875" style="322" customWidth="1"/>
    <col min="6922" max="7166" width="11.44140625" style="322"/>
    <col min="7167" max="7167" width="11.33203125" style="322" customWidth="1"/>
    <col min="7168" max="7168" width="54.5546875" style="322" bestFit="1" customWidth="1"/>
    <col min="7169" max="7169" width="5.33203125" style="322" customWidth="1"/>
    <col min="7170" max="7170" width="12.33203125" style="322" bestFit="1" customWidth="1"/>
    <col min="7171" max="7171" width="14.44140625" style="322" bestFit="1" customWidth="1"/>
    <col min="7172" max="7172" width="15.109375" style="322" bestFit="1" customWidth="1"/>
    <col min="7173" max="7173" width="18.44140625" style="322" bestFit="1" customWidth="1"/>
    <col min="7174" max="7174" width="13.5546875" style="322" bestFit="1" customWidth="1"/>
    <col min="7175" max="7175" width="12" style="322" bestFit="1" customWidth="1"/>
    <col min="7176" max="7176" width="13.33203125" style="322" bestFit="1" customWidth="1"/>
    <col min="7177" max="7177" width="2.88671875" style="322" customWidth="1"/>
    <col min="7178" max="7422" width="11.44140625" style="322"/>
    <col min="7423" max="7423" width="11.33203125" style="322" customWidth="1"/>
    <col min="7424" max="7424" width="54.5546875" style="322" bestFit="1" customWidth="1"/>
    <col min="7425" max="7425" width="5.33203125" style="322" customWidth="1"/>
    <col min="7426" max="7426" width="12.33203125" style="322" bestFit="1" customWidth="1"/>
    <col min="7427" max="7427" width="14.44140625" style="322" bestFit="1" customWidth="1"/>
    <col min="7428" max="7428" width="15.109375" style="322" bestFit="1" customWidth="1"/>
    <col min="7429" max="7429" width="18.44140625" style="322" bestFit="1" customWidth="1"/>
    <col min="7430" max="7430" width="13.5546875" style="322" bestFit="1" customWidth="1"/>
    <col min="7431" max="7431" width="12" style="322" bestFit="1" customWidth="1"/>
    <col min="7432" max="7432" width="13.33203125" style="322" bestFit="1" customWidth="1"/>
    <col min="7433" max="7433" width="2.88671875" style="322" customWidth="1"/>
    <col min="7434" max="7678" width="11.44140625" style="322"/>
    <col min="7679" max="7679" width="11.33203125" style="322" customWidth="1"/>
    <col min="7680" max="7680" width="54.5546875" style="322" bestFit="1" customWidth="1"/>
    <col min="7681" max="7681" width="5.33203125" style="322" customWidth="1"/>
    <col min="7682" max="7682" width="12.33203125" style="322" bestFit="1" customWidth="1"/>
    <col min="7683" max="7683" width="14.44140625" style="322" bestFit="1" customWidth="1"/>
    <col min="7684" max="7684" width="15.109375" style="322" bestFit="1" customWidth="1"/>
    <col min="7685" max="7685" width="18.44140625" style="322" bestFit="1" customWidth="1"/>
    <col min="7686" max="7686" width="13.5546875" style="322" bestFit="1" customWidth="1"/>
    <col min="7687" max="7687" width="12" style="322" bestFit="1" customWidth="1"/>
    <col min="7688" max="7688" width="13.33203125" style="322" bestFit="1" customWidth="1"/>
    <col min="7689" max="7689" width="2.88671875" style="322" customWidth="1"/>
    <col min="7690" max="7934" width="11.44140625" style="322"/>
    <col min="7935" max="7935" width="11.33203125" style="322" customWidth="1"/>
    <col min="7936" max="7936" width="54.5546875" style="322" bestFit="1" customWidth="1"/>
    <col min="7937" max="7937" width="5.33203125" style="322" customWidth="1"/>
    <col min="7938" max="7938" width="12.33203125" style="322" bestFit="1" customWidth="1"/>
    <col min="7939" max="7939" width="14.44140625" style="322" bestFit="1" customWidth="1"/>
    <col min="7940" max="7940" width="15.109375" style="322" bestFit="1" customWidth="1"/>
    <col min="7941" max="7941" width="18.44140625" style="322" bestFit="1" customWidth="1"/>
    <col min="7942" max="7942" width="13.5546875" style="322" bestFit="1" customWidth="1"/>
    <col min="7943" max="7943" width="12" style="322" bestFit="1" customWidth="1"/>
    <col min="7944" max="7944" width="13.33203125" style="322" bestFit="1" customWidth="1"/>
    <col min="7945" max="7945" width="2.88671875" style="322" customWidth="1"/>
    <col min="7946" max="8190" width="11.44140625" style="322"/>
    <col min="8191" max="8191" width="11.33203125" style="322" customWidth="1"/>
    <col min="8192" max="8192" width="54.5546875" style="322" bestFit="1" customWidth="1"/>
    <col min="8193" max="8193" width="5.33203125" style="322" customWidth="1"/>
    <col min="8194" max="8194" width="12.33203125" style="322" bestFit="1" customWidth="1"/>
    <col min="8195" max="8195" width="14.44140625" style="322" bestFit="1" customWidth="1"/>
    <col min="8196" max="8196" width="15.109375" style="322" bestFit="1" customWidth="1"/>
    <col min="8197" max="8197" width="18.44140625" style="322" bestFit="1" customWidth="1"/>
    <col min="8198" max="8198" width="13.5546875" style="322" bestFit="1" customWidth="1"/>
    <col min="8199" max="8199" width="12" style="322" bestFit="1" customWidth="1"/>
    <col min="8200" max="8200" width="13.33203125" style="322" bestFit="1" customWidth="1"/>
    <col min="8201" max="8201" width="2.88671875" style="322" customWidth="1"/>
    <col min="8202" max="8446" width="11.44140625" style="322"/>
    <col min="8447" max="8447" width="11.33203125" style="322" customWidth="1"/>
    <col min="8448" max="8448" width="54.5546875" style="322" bestFit="1" customWidth="1"/>
    <col min="8449" max="8449" width="5.33203125" style="322" customWidth="1"/>
    <col min="8450" max="8450" width="12.33203125" style="322" bestFit="1" customWidth="1"/>
    <col min="8451" max="8451" width="14.44140625" style="322" bestFit="1" customWidth="1"/>
    <col min="8452" max="8452" width="15.109375" style="322" bestFit="1" customWidth="1"/>
    <col min="8453" max="8453" width="18.44140625" style="322" bestFit="1" customWidth="1"/>
    <col min="8454" max="8454" width="13.5546875" style="322" bestFit="1" customWidth="1"/>
    <col min="8455" max="8455" width="12" style="322" bestFit="1" customWidth="1"/>
    <col min="8456" max="8456" width="13.33203125" style="322" bestFit="1" customWidth="1"/>
    <col min="8457" max="8457" width="2.88671875" style="322" customWidth="1"/>
    <col min="8458" max="8702" width="11.44140625" style="322"/>
    <col min="8703" max="8703" width="11.33203125" style="322" customWidth="1"/>
    <col min="8704" max="8704" width="54.5546875" style="322" bestFit="1" customWidth="1"/>
    <col min="8705" max="8705" width="5.33203125" style="322" customWidth="1"/>
    <col min="8706" max="8706" width="12.33203125" style="322" bestFit="1" customWidth="1"/>
    <col min="8707" max="8707" width="14.44140625" style="322" bestFit="1" customWidth="1"/>
    <col min="8708" max="8708" width="15.109375" style="322" bestFit="1" customWidth="1"/>
    <col min="8709" max="8709" width="18.44140625" style="322" bestFit="1" customWidth="1"/>
    <col min="8710" max="8710" width="13.5546875" style="322" bestFit="1" customWidth="1"/>
    <col min="8711" max="8711" width="12" style="322" bestFit="1" customWidth="1"/>
    <col min="8712" max="8712" width="13.33203125" style="322" bestFit="1" customWidth="1"/>
    <col min="8713" max="8713" width="2.88671875" style="322" customWidth="1"/>
    <col min="8714" max="8958" width="11.44140625" style="322"/>
    <col min="8959" max="8959" width="11.33203125" style="322" customWidth="1"/>
    <col min="8960" max="8960" width="54.5546875" style="322" bestFit="1" customWidth="1"/>
    <col min="8961" max="8961" width="5.33203125" style="322" customWidth="1"/>
    <col min="8962" max="8962" width="12.33203125" style="322" bestFit="1" customWidth="1"/>
    <col min="8963" max="8963" width="14.44140625" style="322" bestFit="1" customWidth="1"/>
    <col min="8964" max="8964" width="15.109375" style="322" bestFit="1" customWidth="1"/>
    <col min="8965" max="8965" width="18.44140625" style="322" bestFit="1" customWidth="1"/>
    <col min="8966" max="8966" width="13.5546875" style="322" bestFit="1" customWidth="1"/>
    <col min="8967" max="8967" width="12" style="322" bestFit="1" customWidth="1"/>
    <col min="8968" max="8968" width="13.33203125" style="322" bestFit="1" customWidth="1"/>
    <col min="8969" max="8969" width="2.88671875" style="322" customWidth="1"/>
    <col min="8970" max="9214" width="11.44140625" style="322"/>
    <col min="9215" max="9215" width="11.33203125" style="322" customWidth="1"/>
    <col min="9216" max="9216" width="54.5546875" style="322" bestFit="1" customWidth="1"/>
    <col min="9217" max="9217" width="5.33203125" style="322" customWidth="1"/>
    <col min="9218" max="9218" width="12.33203125" style="322" bestFit="1" customWidth="1"/>
    <col min="9219" max="9219" width="14.44140625" style="322" bestFit="1" customWidth="1"/>
    <col min="9220" max="9220" width="15.109375" style="322" bestFit="1" customWidth="1"/>
    <col min="9221" max="9221" width="18.44140625" style="322" bestFit="1" customWidth="1"/>
    <col min="9222" max="9222" width="13.5546875" style="322" bestFit="1" customWidth="1"/>
    <col min="9223" max="9223" width="12" style="322" bestFit="1" customWidth="1"/>
    <col min="9224" max="9224" width="13.33203125" style="322" bestFit="1" customWidth="1"/>
    <col min="9225" max="9225" width="2.88671875" style="322" customWidth="1"/>
    <col min="9226" max="9470" width="11.44140625" style="322"/>
    <col min="9471" max="9471" width="11.33203125" style="322" customWidth="1"/>
    <col min="9472" max="9472" width="54.5546875" style="322" bestFit="1" customWidth="1"/>
    <col min="9473" max="9473" width="5.33203125" style="322" customWidth="1"/>
    <col min="9474" max="9474" width="12.33203125" style="322" bestFit="1" customWidth="1"/>
    <col min="9475" max="9475" width="14.44140625" style="322" bestFit="1" customWidth="1"/>
    <col min="9476" max="9476" width="15.109375" style="322" bestFit="1" customWidth="1"/>
    <col min="9477" max="9477" width="18.44140625" style="322" bestFit="1" customWidth="1"/>
    <col min="9478" max="9478" width="13.5546875" style="322" bestFit="1" customWidth="1"/>
    <col min="9479" max="9479" width="12" style="322" bestFit="1" customWidth="1"/>
    <col min="9480" max="9480" width="13.33203125" style="322" bestFit="1" customWidth="1"/>
    <col min="9481" max="9481" width="2.88671875" style="322" customWidth="1"/>
    <col min="9482" max="9726" width="11.44140625" style="322"/>
    <col min="9727" max="9727" width="11.33203125" style="322" customWidth="1"/>
    <col min="9728" max="9728" width="54.5546875" style="322" bestFit="1" customWidth="1"/>
    <col min="9729" max="9729" width="5.33203125" style="322" customWidth="1"/>
    <col min="9730" max="9730" width="12.33203125" style="322" bestFit="1" customWidth="1"/>
    <col min="9731" max="9731" width="14.44140625" style="322" bestFit="1" customWidth="1"/>
    <col min="9732" max="9732" width="15.109375" style="322" bestFit="1" customWidth="1"/>
    <col min="9733" max="9733" width="18.44140625" style="322" bestFit="1" customWidth="1"/>
    <col min="9734" max="9734" width="13.5546875" style="322" bestFit="1" customWidth="1"/>
    <col min="9735" max="9735" width="12" style="322" bestFit="1" customWidth="1"/>
    <col min="9736" max="9736" width="13.33203125" style="322" bestFit="1" customWidth="1"/>
    <col min="9737" max="9737" width="2.88671875" style="322" customWidth="1"/>
    <col min="9738" max="9982" width="11.44140625" style="322"/>
    <col min="9983" max="9983" width="11.33203125" style="322" customWidth="1"/>
    <col min="9984" max="9984" width="54.5546875" style="322" bestFit="1" customWidth="1"/>
    <col min="9985" max="9985" width="5.33203125" style="322" customWidth="1"/>
    <col min="9986" max="9986" width="12.33203125" style="322" bestFit="1" customWidth="1"/>
    <col min="9987" max="9987" width="14.44140625" style="322" bestFit="1" customWidth="1"/>
    <col min="9988" max="9988" width="15.109375" style="322" bestFit="1" customWidth="1"/>
    <col min="9989" max="9989" width="18.44140625" style="322" bestFit="1" customWidth="1"/>
    <col min="9990" max="9990" width="13.5546875" style="322" bestFit="1" customWidth="1"/>
    <col min="9991" max="9991" width="12" style="322" bestFit="1" customWidth="1"/>
    <col min="9992" max="9992" width="13.33203125" style="322" bestFit="1" customWidth="1"/>
    <col min="9993" max="9993" width="2.88671875" style="322" customWidth="1"/>
    <col min="9994" max="10238" width="11.44140625" style="322"/>
    <col min="10239" max="10239" width="11.33203125" style="322" customWidth="1"/>
    <col min="10240" max="10240" width="54.5546875" style="322" bestFit="1" customWidth="1"/>
    <col min="10241" max="10241" width="5.33203125" style="322" customWidth="1"/>
    <col min="10242" max="10242" width="12.33203125" style="322" bestFit="1" customWidth="1"/>
    <col min="10243" max="10243" width="14.44140625" style="322" bestFit="1" customWidth="1"/>
    <col min="10244" max="10244" width="15.109375" style="322" bestFit="1" customWidth="1"/>
    <col min="10245" max="10245" width="18.44140625" style="322" bestFit="1" customWidth="1"/>
    <col min="10246" max="10246" width="13.5546875" style="322" bestFit="1" customWidth="1"/>
    <col min="10247" max="10247" width="12" style="322" bestFit="1" customWidth="1"/>
    <col min="10248" max="10248" width="13.33203125" style="322" bestFit="1" customWidth="1"/>
    <col min="10249" max="10249" width="2.88671875" style="322" customWidth="1"/>
    <col min="10250" max="10494" width="11.44140625" style="322"/>
    <col min="10495" max="10495" width="11.33203125" style="322" customWidth="1"/>
    <col min="10496" max="10496" width="54.5546875" style="322" bestFit="1" customWidth="1"/>
    <col min="10497" max="10497" width="5.33203125" style="322" customWidth="1"/>
    <col min="10498" max="10498" width="12.33203125" style="322" bestFit="1" customWidth="1"/>
    <col min="10499" max="10499" width="14.44140625" style="322" bestFit="1" customWidth="1"/>
    <col min="10500" max="10500" width="15.109375" style="322" bestFit="1" customWidth="1"/>
    <col min="10501" max="10501" width="18.44140625" style="322" bestFit="1" customWidth="1"/>
    <col min="10502" max="10502" width="13.5546875" style="322" bestFit="1" customWidth="1"/>
    <col min="10503" max="10503" width="12" style="322" bestFit="1" customWidth="1"/>
    <col min="10504" max="10504" width="13.33203125" style="322" bestFit="1" customWidth="1"/>
    <col min="10505" max="10505" width="2.88671875" style="322" customWidth="1"/>
    <col min="10506" max="10750" width="11.44140625" style="322"/>
    <col min="10751" max="10751" width="11.33203125" style="322" customWidth="1"/>
    <col min="10752" max="10752" width="54.5546875" style="322" bestFit="1" customWidth="1"/>
    <col min="10753" max="10753" width="5.33203125" style="322" customWidth="1"/>
    <col min="10754" max="10754" width="12.33203125" style="322" bestFit="1" customWidth="1"/>
    <col min="10755" max="10755" width="14.44140625" style="322" bestFit="1" customWidth="1"/>
    <col min="10756" max="10756" width="15.109375" style="322" bestFit="1" customWidth="1"/>
    <col min="10757" max="10757" width="18.44140625" style="322" bestFit="1" customWidth="1"/>
    <col min="10758" max="10758" width="13.5546875" style="322" bestFit="1" customWidth="1"/>
    <col min="10759" max="10759" width="12" style="322" bestFit="1" customWidth="1"/>
    <col min="10760" max="10760" width="13.33203125" style="322" bestFit="1" customWidth="1"/>
    <col min="10761" max="10761" width="2.88671875" style="322" customWidth="1"/>
    <col min="10762" max="11006" width="11.44140625" style="322"/>
    <col min="11007" max="11007" width="11.33203125" style="322" customWidth="1"/>
    <col min="11008" max="11008" width="54.5546875" style="322" bestFit="1" customWidth="1"/>
    <col min="11009" max="11009" width="5.33203125" style="322" customWidth="1"/>
    <col min="11010" max="11010" width="12.33203125" style="322" bestFit="1" customWidth="1"/>
    <col min="11011" max="11011" width="14.44140625" style="322" bestFit="1" customWidth="1"/>
    <col min="11012" max="11012" width="15.109375" style="322" bestFit="1" customWidth="1"/>
    <col min="11013" max="11013" width="18.44140625" style="322" bestFit="1" customWidth="1"/>
    <col min="11014" max="11014" width="13.5546875" style="322" bestFit="1" customWidth="1"/>
    <col min="11015" max="11015" width="12" style="322" bestFit="1" customWidth="1"/>
    <col min="11016" max="11016" width="13.33203125" style="322" bestFit="1" customWidth="1"/>
    <col min="11017" max="11017" width="2.88671875" style="322" customWidth="1"/>
    <col min="11018" max="11262" width="11.44140625" style="322"/>
    <col min="11263" max="11263" width="11.33203125" style="322" customWidth="1"/>
    <col min="11264" max="11264" width="54.5546875" style="322" bestFit="1" customWidth="1"/>
    <col min="11265" max="11265" width="5.33203125" style="322" customWidth="1"/>
    <col min="11266" max="11266" width="12.33203125" style="322" bestFit="1" customWidth="1"/>
    <col min="11267" max="11267" width="14.44140625" style="322" bestFit="1" customWidth="1"/>
    <col min="11268" max="11268" width="15.109375" style="322" bestFit="1" customWidth="1"/>
    <col min="11269" max="11269" width="18.44140625" style="322" bestFit="1" customWidth="1"/>
    <col min="11270" max="11270" width="13.5546875" style="322" bestFit="1" customWidth="1"/>
    <col min="11271" max="11271" width="12" style="322" bestFit="1" customWidth="1"/>
    <col min="11272" max="11272" width="13.33203125" style="322" bestFit="1" customWidth="1"/>
    <col min="11273" max="11273" width="2.88671875" style="322" customWidth="1"/>
    <col min="11274" max="11518" width="11.44140625" style="322"/>
    <col min="11519" max="11519" width="11.33203125" style="322" customWidth="1"/>
    <col min="11520" max="11520" width="54.5546875" style="322" bestFit="1" customWidth="1"/>
    <col min="11521" max="11521" width="5.33203125" style="322" customWidth="1"/>
    <col min="11522" max="11522" width="12.33203125" style="322" bestFit="1" customWidth="1"/>
    <col min="11523" max="11523" width="14.44140625" style="322" bestFit="1" customWidth="1"/>
    <col min="11524" max="11524" width="15.109375" style="322" bestFit="1" customWidth="1"/>
    <col min="11525" max="11525" width="18.44140625" style="322" bestFit="1" customWidth="1"/>
    <col min="11526" max="11526" width="13.5546875" style="322" bestFit="1" customWidth="1"/>
    <col min="11527" max="11527" width="12" style="322" bestFit="1" customWidth="1"/>
    <col min="11528" max="11528" width="13.33203125" style="322" bestFit="1" customWidth="1"/>
    <col min="11529" max="11529" width="2.88671875" style="322" customWidth="1"/>
    <col min="11530" max="11774" width="11.44140625" style="322"/>
    <col min="11775" max="11775" width="11.33203125" style="322" customWidth="1"/>
    <col min="11776" max="11776" width="54.5546875" style="322" bestFit="1" customWidth="1"/>
    <col min="11777" max="11777" width="5.33203125" style="322" customWidth="1"/>
    <col min="11778" max="11778" width="12.33203125" style="322" bestFit="1" customWidth="1"/>
    <col min="11779" max="11779" width="14.44140625" style="322" bestFit="1" customWidth="1"/>
    <col min="11780" max="11780" width="15.109375" style="322" bestFit="1" customWidth="1"/>
    <col min="11781" max="11781" width="18.44140625" style="322" bestFit="1" customWidth="1"/>
    <col min="11782" max="11782" width="13.5546875" style="322" bestFit="1" customWidth="1"/>
    <col min="11783" max="11783" width="12" style="322" bestFit="1" customWidth="1"/>
    <col min="11784" max="11784" width="13.33203125" style="322" bestFit="1" customWidth="1"/>
    <col min="11785" max="11785" width="2.88671875" style="322" customWidth="1"/>
    <col min="11786" max="12030" width="11.44140625" style="322"/>
    <col min="12031" max="12031" width="11.33203125" style="322" customWidth="1"/>
    <col min="12032" max="12032" width="54.5546875" style="322" bestFit="1" customWidth="1"/>
    <col min="12033" max="12033" width="5.33203125" style="322" customWidth="1"/>
    <col min="12034" max="12034" width="12.33203125" style="322" bestFit="1" customWidth="1"/>
    <col min="12035" max="12035" width="14.44140625" style="322" bestFit="1" customWidth="1"/>
    <col min="12036" max="12036" width="15.109375" style="322" bestFit="1" customWidth="1"/>
    <col min="12037" max="12037" width="18.44140625" style="322" bestFit="1" customWidth="1"/>
    <col min="12038" max="12038" width="13.5546875" style="322" bestFit="1" customWidth="1"/>
    <col min="12039" max="12039" width="12" style="322" bestFit="1" customWidth="1"/>
    <col min="12040" max="12040" width="13.33203125" style="322" bestFit="1" customWidth="1"/>
    <col min="12041" max="12041" width="2.88671875" style="322" customWidth="1"/>
    <col min="12042" max="12286" width="11.44140625" style="322"/>
    <col min="12287" max="12287" width="11.33203125" style="322" customWidth="1"/>
    <col min="12288" max="12288" width="54.5546875" style="322" bestFit="1" customWidth="1"/>
    <col min="12289" max="12289" width="5.33203125" style="322" customWidth="1"/>
    <col min="12290" max="12290" width="12.33203125" style="322" bestFit="1" customWidth="1"/>
    <col min="12291" max="12291" width="14.44140625" style="322" bestFit="1" customWidth="1"/>
    <col min="12292" max="12292" width="15.109375" style="322" bestFit="1" customWidth="1"/>
    <col min="12293" max="12293" width="18.44140625" style="322" bestFit="1" customWidth="1"/>
    <col min="12294" max="12294" width="13.5546875" style="322" bestFit="1" customWidth="1"/>
    <col min="12295" max="12295" width="12" style="322" bestFit="1" customWidth="1"/>
    <col min="12296" max="12296" width="13.33203125" style="322" bestFit="1" customWidth="1"/>
    <col min="12297" max="12297" width="2.88671875" style="322" customWidth="1"/>
    <col min="12298" max="12542" width="11.44140625" style="322"/>
    <col min="12543" max="12543" width="11.33203125" style="322" customWidth="1"/>
    <col min="12544" max="12544" width="54.5546875" style="322" bestFit="1" customWidth="1"/>
    <col min="12545" max="12545" width="5.33203125" style="322" customWidth="1"/>
    <col min="12546" max="12546" width="12.33203125" style="322" bestFit="1" customWidth="1"/>
    <col min="12547" max="12547" width="14.44140625" style="322" bestFit="1" customWidth="1"/>
    <col min="12548" max="12548" width="15.109375" style="322" bestFit="1" customWidth="1"/>
    <col min="12549" max="12549" width="18.44140625" style="322" bestFit="1" customWidth="1"/>
    <col min="12550" max="12550" width="13.5546875" style="322" bestFit="1" customWidth="1"/>
    <col min="12551" max="12551" width="12" style="322" bestFit="1" customWidth="1"/>
    <col min="12552" max="12552" width="13.33203125" style="322" bestFit="1" customWidth="1"/>
    <col min="12553" max="12553" width="2.88671875" style="322" customWidth="1"/>
    <col min="12554" max="12798" width="11.44140625" style="322"/>
    <col min="12799" max="12799" width="11.33203125" style="322" customWidth="1"/>
    <col min="12800" max="12800" width="54.5546875" style="322" bestFit="1" customWidth="1"/>
    <col min="12801" max="12801" width="5.33203125" style="322" customWidth="1"/>
    <col min="12802" max="12802" width="12.33203125" style="322" bestFit="1" customWidth="1"/>
    <col min="12803" max="12803" width="14.44140625" style="322" bestFit="1" customWidth="1"/>
    <col min="12804" max="12804" width="15.109375" style="322" bestFit="1" customWidth="1"/>
    <col min="12805" max="12805" width="18.44140625" style="322" bestFit="1" customWidth="1"/>
    <col min="12806" max="12806" width="13.5546875" style="322" bestFit="1" customWidth="1"/>
    <col min="12807" max="12807" width="12" style="322" bestFit="1" customWidth="1"/>
    <col min="12808" max="12808" width="13.33203125" style="322" bestFit="1" customWidth="1"/>
    <col min="12809" max="12809" width="2.88671875" style="322" customWidth="1"/>
    <col min="12810" max="13054" width="11.44140625" style="322"/>
    <col min="13055" max="13055" width="11.33203125" style="322" customWidth="1"/>
    <col min="13056" max="13056" width="54.5546875" style="322" bestFit="1" customWidth="1"/>
    <col min="13057" max="13057" width="5.33203125" style="322" customWidth="1"/>
    <col min="13058" max="13058" width="12.33203125" style="322" bestFit="1" customWidth="1"/>
    <col min="13059" max="13059" width="14.44140625" style="322" bestFit="1" customWidth="1"/>
    <col min="13060" max="13060" width="15.109375" style="322" bestFit="1" customWidth="1"/>
    <col min="13061" max="13061" width="18.44140625" style="322" bestFit="1" customWidth="1"/>
    <col min="13062" max="13062" width="13.5546875" style="322" bestFit="1" customWidth="1"/>
    <col min="13063" max="13063" width="12" style="322" bestFit="1" customWidth="1"/>
    <col min="13064" max="13064" width="13.33203125" style="322" bestFit="1" customWidth="1"/>
    <col min="13065" max="13065" width="2.88671875" style="322" customWidth="1"/>
    <col min="13066" max="13310" width="11.44140625" style="322"/>
    <col min="13311" max="13311" width="11.33203125" style="322" customWidth="1"/>
    <col min="13312" max="13312" width="54.5546875" style="322" bestFit="1" customWidth="1"/>
    <col min="13313" max="13313" width="5.33203125" style="322" customWidth="1"/>
    <col min="13314" max="13314" width="12.33203125" style="322" bestFit="1" customWidth="1"/>
    <col min="13315" max="13315" width="14.44140625" style="322" bestFit="1" customWidth="1"/>
    <col min="13316" max="13316" width="15.109375" style="322" bestFit="1" customWidth="1"/>
    <col min="13317" max="13317" width="18.44140625" style="322" bestFit="1" customWidth="1"/>
    <col min="13318" max="13318" width="13.5546875" style="322" bestFit="1" customWidth="1"/>
    <col min="13319" max="13319" width="12" style="322" bestFit="1" customWidth="1"/>
    <col min="13320" max="13320" width="13.33203125" style="322" bestFit="1" customWidth="1"/>
    <col min="13321" max="13321" width="2.88671875" style="322" customWidth="1"/>
    <col min="13322" max="13566" width="11.44140625" style="322"/>
    <col min="13567" max="13567" width="11.33203125" style="322" customWidth="1"/>
    <col min="13568" max="13568" width="54.5546875" style="322" bestFit="1" customWidth="1"/>
    <col min="13569" max="13569" width="5.33203125" style="322" customWidth="1"/>
    <col min="13570" max="13570" width="12.33203125" style="322" bestFit="1" customWidth="1"/>
    <col min="13571" max="13571" width="14.44140625" style="322" bestFit="1" customWidth="1"/>
    <col min="13572" max="13572" width="15.109375" style="322" bestFit="1" customWidth="1"/>
    <col min="13573" max="13573" width="18.44140625" style="322" bestFit="1" customWidth="1"/>
    <col min="13574" max="13574" width="13.5546875" style="322" bestFit="1" customWidth="1"/>
    <col min="13575" max="13575" width="12" style="322" bestFit="1" customWidth="1"/>
    <col min="13576" max="13576" width="13.33203125" style="322" bestFit="1" customWidth="1"/>
    <col min="13577" max="13577" width="2.88671875" style="322" customWidth="1"/>
    <col min="13578" max="13822" width="11.44140625" style="322"/>
    <col min="13823" max="13823" width="11.33203125" style="322" customWidth="1"/>
    <col min="13824" max="13824" width="54.5546875" style="322" bestFit="1" customWidth="1"/>
    <col min="13825" max="13825" width="5.33203125" style="322" customWidth="1"/>
    <col min="13826" max="13826" width="12.33203125" style="322" bestFit="1" customWidth="1"/>
    <col min="13827" max="13827" width="14.44140625" style="322" bestFit="1" customWidth="1"/>
    <col min="13828" max="13828" width="15.109375" style="322" bestFit="1" customWidth="1"/>
    <col min="13829" max="13829" width="18.44140625" style="322" bestFit="1" customWidth="1"/>
    <col min="13830" max="13830" width="13.5546875" style="322" bestFit="1" customWidth="1"/>
    <col min="13831" max="13831" width="12" style="322" bestFit="1" customWidth="1"/>
    <col min="13832" max="13832" width="13.33203125" style="322" bestFit="1" customWidth="1"/>
    <col min="13833" max="13833" width="2.88671875" style="322" customWidth="1"/>
    <col min="13834" max="14078" width="11.44140625" style="322"/>
    <col min="14079" max="14079" width="11.33203125" style="322" customWidth="1"/>
    <col min="14080" max="14080" width="54.5546875" style="322" bestFit="1" customWidth="1"/>
    <col min="14081" max="14081" width="5.33203125" style="322" customWidth="1"/>
    <col min="14082" max="14082" width="12.33203125" style="322" bestFit="1" customWidth="1"/>
    <col min="14083" max="14083" width="14.44140625" style="322" bestFit="1" customWidth="1"/>
    <col min="14084" max="14084" width="15.109375" style="322" bestFit="1" customWidth="1"/>
    <col min="14085" max="14085" width="18.44140625" style="322" bestFit="1" customWidth="1"/>
    <col min="14086" max="14086" width="13.5546875" style="322" bestFit="1" customWidth="1"/>
    <col min="14087" max="14087" width="12" style="322" bestFit="1" customWidth="1"/>
    <col min="14088" max="14088" width="13.33203125" style="322" bestFit="1" customWidth="1"/>
    <col min="14089" max="14089" width="2.88671875" style="322" customWidth="1"/>
    <col min="14090" max="14334" width="11.44140625" style="322"/>
    <col min="14335" max="14335" width="11.33203125" style="322" customWidth="1"/>
    <col min="14336" max="14336" width="54.5546875" style="322" bestFit="1" customWidth="1"/>
    <col min="14337" max="14337" width="5.33203125" style="322" customWidth="1"/>
    <col min="14338" max="14338" width="12.33203125" style="322" bestFit="1" customWidth="1"/>
    <col min="14339" max="14339" width="14.44140625" style="322" bestFit="1" customWidth="1"/>
    <col min="14340" max="14340" width="15.109375" style="322" bestFit="1" customWidth="1"/>
    <col min="14341" max="14341" width="18.44140625" style="322" bestFit="1" customWidth="1"/>
    <col min="14342" max="14342" width="13.5546875" style="322" bestFit="1" customWidth="1"/>
    <col min="14343" max="14343" width="12" style="322" bestFit="1" customWidth="1"/>
    <col min="14344" max="14344" width="13.33203125" style="322" bestFit="1" customWidth="1"/>
    <col min="14345" max="14345" width="2.88671875" style="322" customWidth="1"/>
    <col min="14346" max="14590" width="11.44140625" style="322"/>
    <col min="14591" max="14591" width="11.33203125" style="322" customWidth="1"/>
    <col min="14592" max="14592" width="54.5546875" style="322" bestFit="1" customWidth="1"/>
    <col min="14593" max="14593" width="5.33203125" style="322" customWidth="1"/>
    <col min="14594" max="14594" width="12.33203125" style="322" bestFit="1" customWidth="1"/>
    <col min="14595" max="14595" width="14.44140625" style="322" bestFit="1" customWidth="1"/>
    <col min="14596" max="14596" width="15.109375" style="322" bestFit="1" customWidth="1"/>
    <col min="14597" max="14597" width="18.44140625" style="322" bestFit="1" customWidth="1"/>
    <col min="14598" max="14598" width="13.5546875" style="322" bestFit="1" customWidth="1"/>
    <col min="14599" max="14599" width="12" style="322" bestFit="1" customWidth="1"/>
    <col min="14600" max="14600" width="13.33203125" style="322" bestFit="1" customWidth="1"/>
    <col min="14601" max="14601" width="2.88671875" style="322" customWidth="1"/>
    <col min="14602" max="14846" width="11.44140625" style="322"/>
    <col min="14847" max="14847" width="11.33203125" style="322" customWidth="1"/>
    <col min="14848" max="14848" width="54.5546875" style="322" bestFit="1" customWidth="1"/>
    <col min="14849" max="14849" width="5.33203125" style="322" customWidth="1"/>
    <col min="14850" max="14850" width="12.33203125" style="322" bestFit="1" customWidth="1"/>
    <col min="14851" max="14851" width="14.44140625" style="322" bestFit="1" customWidth="1"/>
    <col min="14852" max="14852" width="15.109375" style="322" bestFit="1" customWidth="1"/>
    <col min="14853" max="14853" width="18.44140625" style="322" bestFit="1" customWidth="1"/>
    <col min="14854" max="14854" width="13.5546875" style="322" bestFit="1" customWidth="1"/>
    <col min="14855" max="14855" width="12" style="322" bestFit="1" customWidth="1"/>
    <col min="14856" max="14856" width="13.33203125" style="322" bestFit="1" customWidth="1"/>
    <col min="14857" max="14857" width="2.88671875" style="322" customWidth="1"/>
    <col min="14858" max="15102" width="11.44140625" style="322"/>
    <col min="15103" max="15103" width="11.33203125" style="322" customWidth="1"/>
    <col min="15104" max="15104" width="54.5546875" style="322" bestFit="1" customWidth="1"/>
    <col min="15105" max="15105" width="5.33203125" style="322" customWidth="1"/>
    <col min="15106" max="15106" width="12.33203125" style="322" bestFit="1" customWidth="1"/>
    <col min="15107" max="15107" width="14.44140625" style="322" bestFit="1" customWidth="1"/>
    <col min="15108" max="15108" width="15.109375" style="322" bestFit="1" customWidth="1"/>
    <col min="15109" max="15109" width="18.44140625" style="322" bestFit="1" customWidth="1"/>
    <col min="15110" max="15110" width="13.5546875" style="322" bestFit="1" customWidth="1"/>
    <col min="15111" max="15111" width="12" style="322" bestFit="1" customWidth="1"/>
    <col min="15112" max="15112" width="13.33203125" style="322" bestFit="1" customWidth="1"/>
    <col min="15113" max="15113" width="2.88671875" style="322" customWidth="1"/>
    <col min="15114" max="15358" width="11.44140625" style="322"/>
    <col min="15359" max="15359" width="11.33203125" style="322" customWidth="1"/>
    <col min="15360" max="15360" width="54.5546875" style="322" bestFit="1" customWidth="1"/>
    <col min="15361" max="15361" width="5.33203125" style="322" customWidth="1"/>
    <col min="15362" max="15362" width="12.33203125" style="322" bestFit="1" customWidth="1"/>
    <col min="15363" max="15363" width="14.44140625" style="322" bestFit="1" customWidth="1"/>
    <col min="15364" max="15364" width="15.109375" style="322" bestFit="1" customWidth="1"/>
    <col min="15365" max="15365" width="18.44140625" style="322" bestFit="1" customWidth="1"/>
    <col min="15366" max="15366" width="13.5546875" style="322" bestFit="1" customWidth="1"/>
    <col min="15367" max="15367" width="12" style="322" bestFit="1" customWidth="1"/>
    <col min="15368" max="15368" width="13.33203125" style="322" bestFit="1" customWidth="1"/>
    <col min="15369" max="15369" width="2.88671875" style="322" customWidth="1"/>
    <col min="15370" max="15614" width="11.44140625" style="322"/>
    <col min="15615" max="15615" width="11.33203125" style="322" customWidth="1"/>
    <col min="15616" max="15616" width="54.5546875" style="322" bestFit="1" customWidth="1"/>
    <col min="15617" max="15617" width="5.33203125" style="322" customWidth="1"/>
    <col min="15618" max="15618" width="12.33203125" style="322" bestFit="1" customWidth="1"/>
    <col min="15619" max="15619" width="14.44140625" style="322" bestFit="1" customWidth="1"/>
    <col min="15620" max="15620" width="15.109375" style="322" bestFit="1" customWidth="1"/>
    <col min="15621" max="15621" width="18.44140625" style="322" bestFit="1" customWidth="1"/>
    <col min="15622" max="15622" width="13.5546875" style="322" bestFit="1" customWidth="1"/>
    <col min="15623" max="15623" width="12" style="322" bestFit="1" customWidth="1"/>
    <col min="15624" max="15624" width="13.33203125" style="322" bestFit="1" customWidth="1"/>
    <col min="15625" max="15625" width="2.88671875" style="322" customWidth="1"/>
    <col min="15626" max="15870" width="11.44140625" style="322"/>
    <col min="15871" max="15871" width="11.33203125" style="322" customWidth="1"/>
    <col min="15872" max="15872" width="54.5546875" style="322" bestFit="1" customWidth="1"/>
    <col min="15873" max="15873" width="5.33203125" style="322" customWidth="1"/>
    <col min="15874" max="15874" width="12.33203125" style="322" bestFit="1" customWidth="1"/>
    <col min="15875" max="15875" width="14.44140625" style="322" bestFit="1" customWidth="1"/>
    <col min="15876" max="15876" width="15.109375" style="322" bestFit="1" customWidth="1"/>
    <col min="15877" max="15877" width="18.44140625" style="322" bestFit="1" customWidth="1"/>
    <col min="15878" max="15878" width="13.5546875" style="322" bestFit="1" customWidth="1"/>
    <col min="15879" max="15879" width="12" style="322" bestFit="1" customWidth="1"/>
    <col min="15880" max="15880" width="13.33203125" style="322" bestFit="1" customWidth="1"/>
    <col min="15881" max="15881" width="2.88671875" style="322" customWidth="1"/>
    <col min="15882" max="16126" width="11.44140625" style="322"/>
    <col min="16127" max="16127" width="11.33203125" style="322" customWidth="1"/>
    <col min="16128" max="16128" width="54.5546875" style="322" bestFit="1" customWidth="1"/>
    <col min="16129" max="16129" width="5.33203125" style="322" customWidth="1"/>
    <col min="16130" max="16130" width="12.33203125" style="322" bestFit="1" customWidth="1"/>
    <col min="16131" max="16131" width="14.44140625" style="322" bestFit="1" customWidth="1"/>
    <col min="16132" max="16132" width="15.109375" style="322" bestFit="1" customWidth="1"/>
    <col min="16133" max="16133" width="18.44140625" style="322" bestFit="1" customWidth="1"/>
    <col min="16134" max="16134" width="13.5546875" style="322" bestFit="1" customWidth="1"/>
    <col min="16135" max="16135" width="12" style="322" bestFit="1" customWidth="1"/>
    <col min="16136" max="16136" width="13.33203125" style="322" bestFit="1" customWidth="1"/>
    <col min="16137" max="16137" width="2.88671875" style="322" customWidth="1"/>
    <col min="16138" max="16384" width="11.44140625" style="322"/>
  </cols>
  <sheetData>
    <row r="1" spans="1:11" x14ac:dyDescent="0.25">
      <c r="A1" s="663" t="s">
        <v>333</v>
      </c>
      <c r="B1" s="663"/>
      <c r="C1" s="663"/>
      <c r="D1" s="663"/>
      <c r="E1" s="663"/>
      <c r="F1" s="663"/>
      <c r="G1" s="663"/>
      <c r="H1" s="663"/>
      <c r="I1" s="663"/>
      <c r="J1" s="663"/>
    </row>
    <row r="2" spans="1:11" ht="13.8" thickBot="1" x14ac:dyDescent="0.3">
      <c r="J2" s="327"/>
    </row>
    <row r="3" spans="1:11" x14ac:dyDescent="0.25">
      <c r="A3" s="328" t="s">
        <v>334</v>
      </c>
      <c r="B3" s="329"/>
      <c r="C3" s="330"/>
      <c r="D3" s="331" t="s">
        <v>276</v>
      </c>
      <c r="E3" s="332">
        <f>+'Presupuesto Final Veredas'!G22</f>
        <v>203860586</v>
      </c>
      <c r="G3" s="333"/>
      <c r="H3" s="334"/>
    </row>
    <row r="4" spans="1:11" x14ac:dyDescent="0.25">
      <c r="A4" s="335" t="s">
        <v>335</v>
      </c>
      <c r="D4" s="325" t="s">
        <v>266</v>
      </c>
      <c r="E4" s="336">
        <v>1.5</v>
      </c>
    </row>
    <row r="5" spans="1:11" ht="13.8" thickBot="1" x14ac:dyDescent="0.3">
      <c r="A5" s="337" t="s">
        <v>336</v>
      </c>
      <c r="B5" s="338"/>
      <c r="C5" s="339"/>
      <c r="D5" s="340"/>
      <c r="E5" s="341" t="s">
        <v>337</v>
      </c>
    </row>
    <row r="6" spans="1:11" ht="13.8" thickBot="1" x14ac:dyDescent="0.3"/>
    <row r="7" spans="1:11" s="347" customFormat="1" ht="53.4" thickBot="1" x14ac:dyDescent="0.35">
      <c r="A7" s="342" t="s">
        <v>338</v>
      </c>
      <c r="B7" s="343" t="s">
        <v>339</v>
      </c>
      <c r="C7" s="343" t="s">
        <v>265</v>
      </c>
      <c r="D7" s="342" t="s">
        <v>340</v>
      </c>
      <c r="E7" s="342" t="s">
        <v>341</v>
      </c>
      <c r="F7" s="344" t="s">
        <v>342</v>
      </c>
      <c r="G7" s="343" t="s">
        <v>343</v>
      </c>
      <c r="H7" s="344" t="s">
        <v>344</v>
      </c>
      <c r="I7" s="344" t="s">
        <v>345</v>
      </c>
      <c r="J7" s="345" t="s">
        <v>346</v>
      </c>
      <c r="K7" s="346"/>
    </row>
    <row r="8" spans="1:11" x14ac:dyDescent="0.25">
      <c r="A8" s="348">
        <v>1</v>
      </c>
      <c r="B8" s="349" t="s">
        <v>347</v>
      </c>
      <c r="C8" s="350"/>
      <c r="D8" s="351"/>
      <c r="E8" s="351"/>
      <c r="F8" s="352"/>
      <c r="G8" s="353"/>
      <c r="H8" s="352"/>
      <c r="I8" s="352"/>
      <c r="J8" s="354">
        <f>+J9</f>
        <v>6.4729530405646926E-2</v>
      </c>
    </row>
    <row r="9" spans="1:11" x14ac:dyDescent="0.25">
      <c r="A9" s="355">
        <v>1.1000000000000001</v>
      </c>
      <c r="B9" s="356" t="s">
        <v>348</v>
      </c>
      <c r="C9" s="357"/>
      <c r="D9" s="358"/>
      <c r="E9" s="358"/>
      <c r="F9" s="359"/>
      <c r="G9" s="360"/>
      <c r="H9" s="359"/>
      <c r="I9" s="361">
        <f>SUM(H10:H25)</f>
        <v>13195800</v>
      </c>
      <c r="J9" s="362">
        <f>+I9/$E$3</f>
        <v>6.4729530405646926E-2</v>
      </c>
      <c r="K9" s="363"/>
    </row>
    <row r="10" spans="1:11" x14ac:dyDescent="0.25">
      <c r="A10" s="355"/>
      <c r="B10" s="360" t="s">
        <v>349</v>
      </c>
      <c r="C10" s="357" t="s">
        <v>269</v>
      </c>
      <c r="D10" s="358">
        <v>0</v>
      </c>
      <c r="E10" s="364">
        <v>0.2</v>
      </c>
      <c r="F10" s="359">
        <v>15400000</v>
      </c>
      <c r="G10" s="365">
        <v>0.62</v>
      </c>
      <c r="H10" s="359">
        <f t="shared" ref="H10:H25" si="0">+D10*E10*$E$4*F10*(1+G10)</f>
        <v>0</v>
      </c>
      <c r="I10" s="359"/>
      <c r="J10" s="366">
        <f>+H10/$E$3</f>
        <v>0</v>
      </c>
    </row>
    <row r="11" spans="1:11" x14ac:dyDescent="0.25">
      <c r="A11" s="355"/>
      <c r="B11" s="360" t="s">
        <v>350</v>
      </c>
      <c r="C11" s="357" t="s">
        <v>269</v>
      </c>
      <c r="D11" s="358">
        <v>1</v>
      </c>
      <c r="E11" s="364">
        <v>0</v>
      </c>
      <c r="F11" s="359">
        <v>4200000</v>
      </c>
      <c r="G11" s="365">
        <v>0.62</v>
      </c>
      <c r="H11" s="359">
        <f>+D11*E11*$E$4*F11*(1+G11)</f>
        <v>0</v>
      </c>
      <c r="I11" s="359"/>
      <c r="J11" s="366">
        <f>+H11/$E$3</f>
        <v>0</v>
      </c>
    </row>
    <row r="12" spans="1:11" x14ac:dyDescent="0.25">
      <c r="A12" s="355"/>
      <c r="B12" s="360" t="s">
        <v>351</v>
      </c>
      <c r="C12" s="357" t="s">
        <v>269</v>
      </c>
      <c r="D12" s="358">
        <v>1</v>
      </c>
      <c r="E12" s="364">
        <v>0.4</v>
      </c>
      <c r="F12" s="359">
        <v>3200000</v>
      </c>
      <c r="G12" s="365">
        <v>0.62</v>
      </c>
      <c r="H12" s="359">
        <f t="shared" si="0"/>
        <v>3110400.0000000005</v>
      </c>
      <c r="I12" s="359"/>
      <c r="J12" s="366">
        <f>+H12/$E$3</f>
        <v>1.5257485819254932E-2</v>
      </c>
    </row>
    <row r="13" spans="1:11" x14ac:dyDescent="0.25">
      <c r="A13" s="355"/>
      <c r="B13" s="360" t="s">
        <v>352</v>
      </c>
      <c r="C13" s="357" t="s">
        <v>269</v>
      </c>
      <c r="D13" s="358">
        <v>1</v>
      </c>
      <c r="E13" s="364">
        <v>1</v>
      </c>
      <c r="F13" s="359">
        <v>2800000</v>
      </c>
      <c r="G13" s="365">
        <v>0.62</v>
      </c>
      <c r="H13" s="359">
        <f>+D13*E13*$E$4*F13*(1+G13)</f>
        <v>6804000</v>
      </c>
      <c r="I13" s="359"/>
      <c r="J13" s="366">
        <f>+H13/$E$3</f>
        <v>3.3375750229620159E-2</v>
      </c>
    </row>
    <row r="14" spans="1:11" x14ac:dyDescent="0.25">
      <c r="A14" s="355"/>
      <c r="B14" s="360" t="s">
        <v>353</v>
      </c>
      <c r="C14" s="357" t="s">
        <v>269</v>
      </c>
      <c r="D14" s="358">
        <v>1</v>
      </c>
      <c r="E14" s="364">
        <v>0</v>
      </c>
      <c r="F14" s="359">
        <v>2800000</v>
      </c>
      <c r="G14" s="365">
        <v>0.62</v>
      </c>
      <c r="H14" s="359">
        <f t="shared" si="0"/>
        <v>0</v>
      </c>
      <c r="I14" s="359"/>
      <c r="J14" s="366">
        <f t="shared" ref="J14:J25" si="1">+H14/$E$3</f>
        <v>0</v>
      </c>
    </row>
    <row r="15" spans="1:11" x14ac:dyDescent="0.25">
      <c r="A15" s="355"/>
      <c r="B15" s="360" t="s">
        <v>354</v>
      </c>
      <c r="C15" s="357" t="s">
        <v>269</v>
      </c>
      <c r="D15" s="358">
        <v>1</v>
      </c>
      <c r="E15" s="364">
        <v>0.2</v>
      </c>
      <c r="F15" s="359">
        <v>2800000</v>
      </c>
      <c r="G15" s="365">
        <v>0.62</v>
      </c>
      <c r="H15" s="359">
        <f t="shared" si="0"/>
        <v>1360800.0000000002</v>
      </c>
      <c r="I15" s="359"/>
      <c r="J15" s="366">
        <f t="shared" si="1"/>
        <v>6.6751500459240332E-3</v>
      </c>
    </row>
    <row r="16" spans="1:11" x14ac:dyDescent="0.25">
      <c r="A16" s="355"/>
      <c r="B16" s="360" t="s">
        <v>355</v>
      </c>
      <c r="C16" s="357" t="s">
        <v>269</v>
      </c>
      <c r="D16" s="358">
        <v>0</v>
      </c>
      <c r="E16" s="364">
        <v>1</v>
      </c>
      <c r="F16" s="359">
        <v>1160000</v>
      </c>
      <c r="G16" s="365">
        <v>0.74</v>
      </c>
      <c r="H16" s="359">
        <f t="shared" si="0"/>
        <v>0</v>
      </c>
      <c r="I16" s="359"/>
      <c r="J16" s="366">
        <f>+H16/$E$3</f>
        <v>0</v>
      </c>
    </row>
    <row r="17" spans="1:13" x14ac:dyDescent="0.25">
      <c r="A17" s="355"/>
      <c r="B17" s="360" t="s">
        <v>356</v>
      </c>
      <c r="C17" s="357" t="s">
        <v>269</v>
      </c>
      <c r="D17" s="358">
        <v>0</v>
      </c>
      <c r="E17" s="364">
        <v>1</v>
      </c>
      <c r="F17" s="359">
        <v>1800000</v>
      </c>
      <c r="G17" s="365">
        <v>0.74</v>
      </c>
      <c r="H17" s="359">
        <f t="shared" si="0"/>
        <v>0</v>
      </c>
      <c r="I17" s="359"/>
      <c r="J17" s="366">
        <f t="shared" si="1"/>
        <v>0</v>
      </c>
    </row>
    <row r="18" spans="1:13" x14ac:dyDescent="0.25">
      <c r="A18" s="355"/>
      <c r="B18" s="360" t="s">
        <v>357</v>
      </c>
      <c r="C18" s="357" t="s">
        <v>269</v>
      </c>
      <c r="D18" s="358">
        <v>0</v>
      </c>
      <c r="E18" s="364">
        <v>0.15</v>
      </c>
      <c r="F18" s="359">
        <v>1500000</v>
      </c>
      <c r="G18" s="365">
        <v>0.74</v>
      </c>
      <c r="H18" s="359">
        <f t="shared" si="0"/>
        <v>0</v>
      </c>
      <c r="I18" s="359"/>
      <c r="J18" s="366">
        <f t="shared" si="1"/>
        <v>0</v>
      </c>
    </row>
    <row r="19" spans="1:13" x14ac:dyDescent="0.25">
      <c r="A19" s="355"/>
      <c r="B19" s="360" t="s">
        <v>358</v>
      </c>
      <c r="C19" s="357" t="s">
        <v>269</v>
      </c>
      <c r="D19" s="358">
        <v>1</v>
      </c>
      <c r="E19" s="364">
        <v>0.15</v>
      </c>
      <c r="F19" s="359">
        <v>2800000</v>
      </c>
      <c r="G19" s="365">
        <v>0.62</v>
      </c>
      <c r="H19" s="359">
        <f t="shared" si="0"/>
        <v>1020599.9999999999</v>
      </c>
      <c r="I19" s="359"/>
      <c r="J19" s="366">
        <f t="shared" si="1"/>
        <v>5.0063625344430231E-3</v>
      </c>
      <c r="K19" s="363"/>
    </row>
    <row r="20" spans="1:13" x14ac:dyDescent="0.25">
      <c r="A20" s="355"/>
      <c r="B20" s="360" t="s">
        <v>359</v>
      </c>
      <c r="C20" s="357" t="s">
        <v>268</v>
      </c>
      <c r="D20" s="358">
        <v>0</v>
      </c>
      <c r="E20" s="364">
        <v>1</v>
      </c>
      <c r="F20" s="359">
        <v>350000</v>
      </c>
      <c r="G20" s="365"/>
      <c r="H20" s="359">
        <f t="shared" si="0"/>
        <v>0</v>
      </c>
      <c r="I20" s="359"/>
      <c r="J20" s="366">
        <f t="shared" si="1"/>
        <v>0</v>
      </c>
      <c r="K20" s="363"/>
    </row>
    <row r="21" spans="1:13" x14ac:dyDescent="0.25">
      <c r="A21" s="355"/>
      <c r="B21" s="360" t="s">
        <v>360</v>
      </c>
      <c r="C21" s="357" t="s">
        <v>268</v>
      </c>
      <c r="D21" s="358">
        <v>0</v>
      </c>
      <c r="E21" s="364">
        <v>0.5</v>
      </c>
      <c r="F21" s="359">
        <v>1000000</v>
      </c>
      <c r="G21" s="365"/>
      <c r="H21" s="359">
        <f t="shared" si="0"/>
        <v>0</v>
      </c>
      <c r="I21" s="359"/>
      <c r="J21" s="366">
        <f t="shared" si="1"/>
        <v>0</v>
      </c>
      <c r="K21" s="363"/>
    </row>
    <row r="22" spans="1:13" x14ac:dyDescent="0.25">
      <c r="A22" s="355"/>
      <c r="B22" s="360" t="s">
        <v>361</v>
      </c>
      <c r="C22" s="357" t="s">
        <v>268</v>
      </c>
      <c r="D22" s="358">
        <v>1</v>
      </c>
      <c r="E22" s="364">
        <v>1</v>
      </c>
      <c r="F22" s="359">
        <v>300000</v>
      </c>
      <c r="G22" s="365"/>
      <c r="H22" s="359">
        <f t="shared" si="0"/>
        <v>450000</v>
      </c>
      <c r="I22" s="359"/>
      <c r="J22" s="366">
        <f t="shared" si="1"/>
        <v>2.2073908882023915E-3</v>
      </c>
      <c r="K22" s="363"/>
    </row>
    <row r="23" spans="1:13" x14ac:dyDescent="0.25">
      <c r="A23" s="355"/>
      <c r="B23" s="360" t="s">
        <v>362</v>
      </c>
      <c r="C23" s="357" t="s">
        <v>268</v>
      </c>
      <c r="D23" s="358">
        <v>1</v>
      </c>
      <c r="E23" s="364">
        <v>1</v>
      </c>
      <c r="F23" s="359">
        <v>300000</v>
      </c>
      <c r="G23" s="365"/>
      <c r="H23" s="359">
        <f t="shared" si="0"/>
        <v>450000</v>
      </c>
      <c r="I23" s="359"/>
      <c r="J23" s="366">
        <f t="shared" si="1"/>
        <v>2.2073908882023915E-3</v>
      </c>
      <c r="K23" s="363"/>
    </row>
    <row r="24" spans="1:13" x14ac:dyDescent="0.25">
      <c r="A24" s="355"/>
      <c r="B24" s="360" t="s">
        <v>363</v>
      </c>
      <c r="C24" s="357" t="s">
        <v>268</v>
      </c>
      <c r="D24" s="358">
        <v>0</v>
      </c>
      <c r="E24" s="364">
        <v>1</v>
      </c>
      <c r="F24" s="359">
        <v>300000</v>
      </c>
      <c r="G24" s="365"/>
      <c r="H24" s="359">
        <f t="shared" si="0"/>
        <v>0</v>
      </c>
      <c r="I24" s="359"/>
      <c r="J24" s="366">
        <f t="shared" si="1"/>
        <v>0</v>
      </c>
      <c r="K24" s="363"/>
    </row>
    <row r="25" spans="1:13" x14ac:dyDescent="0.25">
      <c r="A25" s="355"/>
      <c r="B25" s="360" t="s">
        <v>364</v>
      </c>
      <c r="C25" s="357" t="s">
        <v>268</v>
      </c>
      <c r="D25" s="358">
        <v>0</v>
      </c>
      <c r="E25" s="364">
        <v>1</v>
      </c>
      <c r="F25" s="359">
        <v>300000</v>
      </c>
      <c r="G25" s="365"/>
      <c r="H25" s="359">
        <f t="shared" si="0"/>
        <v>0</v>
      </c>
      <c r="I25" s="359"/>
      <c r="J25" s="366">
        <f t="shared" si="1"/>
        <v>0</v>
      </c>
      <c r="K25" s="363"/>
    </row>
    <row r="26" spans="1:13" x14ac:dyDescent="0.25">
      <c r="A26" s="355">
        <v>2</v>
      </c>
      <c r="B26" s="367" t="s">
        <v>365</v>
      </c>
      <c r="C26" s="357"/>
      <c r="D26" s="358"/>
      <c r="E26" s="358"/>
      <c r="F26" s="359"/>
      <c r="G26" s="360"/>
      <c r="H26" s="359"/>
      <c r="I26" s="359"/>
      <c r="J26" s="368">
        <f>+J27+J31+J40</f>
        <v>0.2243192</v>
      </c>
    </row>
    <row r="27" spans="1:13" x14ac:dyDescent="0.25">
      <c r="A27" s="355">
        <v>2.1</v>
      </c>
      <c r="B27" s="356" t="s">
        <v>366</v>
      </c>
      <c r="C27" s="357"/>
      <c r="D27" s="358"/>
      <c r="E27" s="358"/>
      <c r="F27" s="359"/>
      <c r="G27" s="360"/>
      <c r="H27" s="359"/>
      <c r="I27" s="361">
        <f>SUM(H28:H30)</f>
        <v>0</v>
      </c>
      <c r="J27" s="362">
        <f>+I27/$E$3</f>
        <v>0</v>
      </c>
      <c r="K27" s="363"/>
      <c r="M27" s="333">
        <f>+J26+J9</f>
        <v>0.28904873040564694</v>
      </c>
    </row>
    <row r="28" spans="1:13" x14ac:dyDescent="0.25">
      <c r="A28" s="355"/>
      <c r="B28" s="360" t="s">
        <v>367</v>
      </c>
      <c r="C28" s="357" t="s">
        <v>267</v>
      </c>
      <c r="D28" s="365">
        <v>0</v>
      </c>
      <c r="E28" s="358"/>
      <c r="F28" s="369">
        <v>0</v>
      </c>
      <c r="G28" s="370">
        <v>1.3677999999999999</v>
      </c>
      <c r="H28" s="359">
        <f>+F28*D28*G28</f>
        <v>0</v>
      </c>
      <c r="I28" s="359"/>
      <c r="J28" s="366">
        <f>+H28/$E$3</f>
        <v>0</v>
      </c>
    </row>
    <row r="29" spans="1:13" x14ac:dyDescent="0.25">
      <c r="A29" s="355"/>
      <c r="B29" s="360" t="s">
        <v>368</v>
      </c>
      <c r="C29" s="357" t="s">
        <v>267</v>
      </c>
      <c r="D29" s="365">
        <v>0</v>
      </c>
      <c r="E29" s="358"/>
      <c r="F29" s="369">
        <v>0</v>
      </c>
      <c r="G29" s="370">
        <f>+$G$28</f>
        <v>1.3677999999999999</v>
      </c>
      <c r="H29" s="359">
        <f>+F29*D29*G29</f>
        <v>0</v>
      </c>
      <c r="I29" s="359"/>
      <c r="J29" s="366">
        <f>+H29/$E$3</f>
        <v>0</v>
      </c>
    </row>
    <row r="30" spans="1:13" x14ac:dyDescent="0.25">
      <c r="A30" s="355"/>
      <c r="B30" s="360" t="s">
        <v>369</v>
      </c>
      <c r="C30" s="357" t="s">
        <v>267</v>
      </c>
      <c r="D30" s="365">
        <v>0</v>
      </c>
      <c r="E30" s="358"/>
      <c r="F30" s="369">
        <v>0</v>
      </c>
      <c r="G30" s="370">
        <f>+$G$28</f>
        <v>1.3677999999999999</v>
      </c>
      <c r="H30" s="359">
        <f>+F30*D30*G30</f>
        <v>0</v>
      </c>
      <c r="I30" s="359"/>
      <c r="J30" s="366">
        <f>+H30/$E$3</f>
        <v>0</v>
      </c>
    </row>
    <row r="31" spans="1:13" x14ac:dyDescent="0.25">
      <c r="A31" s="355">
        <v>2.2000000000000002</v>
      </c>
      <c r="B31" s="356" t="s">
        <v>370</v>
      </c>
      <c r="C31" s="357"/>
      <c r="D31" s="358"/>
      <c r="E31" s="358"/>
      <c r="F31" s="359"/>
      <c r="G31" s="370"/>
      <c r="H31" s="359"/>
      <c r="I31" s="361">
        <f>SUM(H32:H39)</f>
        <v>2509564.5857771998</v>
      </c>
      <c r="J31" s="362">
        <f>+I31/$E$3</f>
        <v>1.2310199999999999E-2</v>
      </c>
      <c r="K31" s="363"/>
    </row>
    <row r="32" spans="1:13" x14ac:dyDescent="0.25">
      <c r="A32" s="355"/>
      <c r="B32" s="360" t="s">
        <v>371</v>
      </c>
      <c r="C32" s="357" t="s">
        <v>267</v>
      </c>
      <c r="D32" s="365">
        <v>2.0000000000000001E-4</v>
      </c>
      <c r="E32" s="358"/>
      <c r="F32" s="359">
        <f t="shared" ref="F32:F39" si="2">+$E$3</f>
        <v>203860586</v>
      </c>
      <c r="G32" s="370">
        <f t="shared" ref="G32:G39" si="3">+$G$28</f>
        <v>1.3677999999999999</v>
      </c>
      <c r="H32" s="359">
        <f t="shared" ref="H32:H39" si="4">+F32*D32*G32</f>
        <v>55768.101906159995</v>
      </c>
      <c r="I32" s="359"/>
      <c r="J32" s="366">
        <f t="shared" ref="J32:J39" si="5">+H32/$E$3</f>
        <v>2.7355999999999995E-4</v>
      </c>
    </row>
    <row r="33" spans="1:11" x14ac:dyDescent="0.25">
      <c r="A33" s="355"/>
      <c r="B33" s="360" t="s">
        <v>372</v>
      </c>
      <c r="C33" s="357" t="s">
        <v>267</v>
      </c>
      <c r="D33" s="365">
        <v>8.9999999999999998E-4</v>
      </c>
      <c r="E33" s="358"/>
      <c r="F33" s="359">
        <f t="shared" si="2"/>
        <v>203860586</v>
      </c>
      <c r="G33" s="370">
        <f t="shared" si="3"/>
        <v>1.3677999999999999</v>
      </c>
      <c r="H33" s="359">
        <f t="shared" si="4"/>
        <v>250956.45857771998</v>
      </c>
      <c r="I33" s="359"/>
      <c r="J33" s="366">
        <f t="shared" si="5"/>
        <v>1.23102E-3</v>
      </c>
    </row>
    <row r="34" spans="1:11" x14ac:dyDescent="0.25">
      <c r="A34" s="355"/>
      <c r="B34" s="360" t="s">
        <v>373</v>
      </c>
      <c r="C34" s="357" t="s">
        <v>267</v>
      </c>
      <c r="D34" s="365">
        <v>6.9999999999999999E-4</v>
      </c>
      <c r="E34" s="358"/>
      <c r="F34" s="359">
        <f t="shared" si="2"/>
        <v>203860586</v>
      </c>
      <c r="G34" s="370">
        <f t="shared" si="3"/>
        <v>1.3677999999999999</v>
      </c>
      <c r="H34" s="359">
        <f t="shared" si="4"/>
        <v>195188.35667156</v>
      </c>
      <c r="I34" s="359"/>
      <c r="J34" s="366">
        <f t="shared" si="5"/>
        <v>9.5746000000000004E-4</v>
      </c>
    </row>
    <row r="35" spans="1:11" x14ac:dyDescent="0.25">
      <c r="A35" s="355"/>
      <c r="B35" s="360" t="s">
        <v>374</v>
      </c>
      <c r="C35" s="357" t="s">
        <v>267</v>
      </c>
      <c r="D35" s="365">
        <v>3.8E-3</v>
      </c>
      <c r="E35" s="358"/>
      <c r="F35" s="359">
        <f t="shared" si="2"/>
        <v>203860586</v>
      </c>
      <c r="G35" s="370">
        <f t="shared" si="3"/>
        <v>1.3677999999999999</v>
      </c>
      <c r="H35" s="359">
        <f t="shared" si="4"/>
        <v>1059593.9362170398</v>
      </c>
      <c r="I35" s="359"/>
      <c r="J35" s="366">
        <f t="shared" si="5"/>
        <v>5.197639999999999E-3</v>
      </c>
    </row>
    <row r="36" spans="1:11" x14ac:dyDescent="0.25">
      <c r="A36" s="355"/>
      <c r="B36" s="360" t="s">
        <v>375</v>
      </c>
      <c r="C36" s="357" t="s">
        <v>267</v>
      </c>
      <c r="D36" s="365">
        <v>0</v>
      </c>
      <c r="E36" s="358"/>
      <c r="F36" s="359">
        <f t="shared" si="2"/>
        <v>203860586</v>
      </c>
      <c r="G36" s="370">
        <f t="shared" si="3"/>
        <v>1.3677999999999999</v>
      </c>
      <c r="H36" s="359">
        <f t="shared" si="4"/>
        <v>0</v>
      </c>
      <c r="I36" s="359"/>
      <c r="J36" s="366">
        <f t="shared" si="5"/>
        <v>0</v>
      </c>
    </row>
    <row r="37" spans="1:11" x14ac:dyDescent="0.25">
      <c r="A37" s="355"/>
      <c r="B37" s="360" t="s">
        <v>376</v>
      </c>
      <c r="C37" s="357" t="s">
        <v>267</v>
      </c>
      <c r="D37" s="365">
        <v>1.5E-3</v>
      </c>
      <c r="E37" s="358"/>
      <c r="F37" s="359">
        <f t="shared" si="2"/>
        <v>203860586</v>
      </c>
      <c r="G37" s="370">
        <f t="shared" si="3"/>
        <v>1.3677999999999999</v>
      </c>
      <c r="H37" s="359">
        <f t="shared" si="4"/>
        <v>418260.76429620001</v>
      </c>
      <c r="I37" s="359"/>
      <c r="J37" s="366">
        <f t="shared" si="5"/>
        <v>2.0517000000000001E-3</v>
      </c>
    </row>
    <row r="38" spans="1:11" x14ac:dyDescent="0.25">
      <c r="A38" s="355"/>
      <c r="B38" s="360" t="s">
        <v>377</v>
      </c>
      <c r="C38" s="357" t="s">
        <v>267</v>
      </c>
      <c r="D38" s="365">
        <v>1.9E-3</v>
      </c>
      <c r="E38" s="358"/>
      <c r="F38" s="359">
        <f t="shared" si="2"/>
        <v>203860586</v>
      </c>
      <c r="G38" s="370">
        <f t="shared" si="3"/>
        <v>1.3677999999999999</v>
      </c>
      <c r="H38" s="359">
        <f t="shared" si="4"/>
        <v>529796.96810851991</v>
      </c>
      <c r="I38" s="359"/>
      <c r="J38" s="366">
        <f t="shared" si="5"/>
        <v>2.5988199999999995E-3</v>
      </c>
    </row>
    <row r="39" spans="1:11" x14ac:dyDescent="0.25">
      <c r="A39" s="355"/>
      <c r="B39" s="360" t="s">
        <v>378</v>
      </c>
      <c r="C39" s="357" t="s">
        <v>267</v>
      </c>
      <c r="D39" s="365">
        <v>0</v>
      </c>
      <c r="E39" s="358"/>
      <c r="F39" s="359">
        <f t="shared" si="2"/>
        <v>203860586</v>
      </c>
      <c r="G39" s="370">
        <f t="shared" si="3"/>
        <v>1.3677999999999999</v>
      </c>
      <c r="H39" s="359">
        <f t="shared" si="4"/>
        <v>0</v>
      </c>
      <c r="I39" s="359"/>
      <c r="J39" s="366">
        <f t="shared" si="5"/>
        <v>0</v>
      </c>
    </row>
    <row r="40" spans="1:11" x14ac:dyDescent="0.25">
      <c r="A40" s="355">
        <v>2.2999999999999998</v>
      </c>
      <c r="B40" s="356" t="s">
        <v>379</v>
      </c>
      <c r="C40" s="357"/>
      <c r="D40" s="358"/>
      <c r="E40" s="358"/>
      <c r="F40" s="359"/>
      <c r="G40" s="370"/>
      <c r="H40" s="359"/>
      <c r="I40" s="361">
        <f>SUM(H41:H49)</f>
        <v>43220278.977274001</v>
      </c>
      <c r="J40" s="362">
        <f>+I40/$E$3</f>
        <v>0.212009</v>
      </c>
      <c r="K40" s="363"/>
    </row>
    <row r="41" spans="1:11" x14ac:dyDescent="0.25">
      <c r="A41" s="355"/>
      <c r="B41" s="360" t="s">
        <v>380</v>
      </c>
      <c r="C41" s="357" t="s">
        <v>267</v>
      </c>
      <c r="D41" s="365">
        <v>0.05</v>
      </c>
      <c r="E41" s="358"/>
      <c r="F41" s="359">
        <f t="shared" ref="F41:F49" si="6">+$E$3</f>
        <v>203860586</v>
      </c>
      <c r="G41" s="370">
        <f t="shared" ref="G41:G49" si="7">+$G$28</f>
        <v>1.3677999999999999</v>
      </c>
      <c r="H41" s="359">
        <f t="shared" ref="H41:H49" si="8">+F41*D41*G41</f>
        <v>13942025.476539999</v>
      </c>
      <c r="I41" s="359"/>
      <c r="J41" s="366">
        <f t="shared" ref="J41:J48" si="9">+H41/$E$3</f>
        <v>6.8389999999999992E-2</v>
      </c>
    </row>
    <row r="42" spans="1:11" x14ac:dyDescent="0.25">
      <c r="A42" s="355"/>
      <c r="B42" s="360" t="s">
        <v>381</v>
      </c>
      <c r="C42" s="357" t="s">
        <v>267</v>
      </c>
      <c r="D42" s="365">
        <v>0.02</v>
      </c>
      <c r="E42" s="358"/>
      <c r="F42" s="359">
        <f t="shared" si="6"/>
        <v>203860586</v>
      </c>
      <c r="G42" s="370">
        <f t="shared" si="7"/>
        <v>1.3677999999999999</v>
      </c>
      <c r="H42" s="359">
        <f t="shared" si="8"/>
        <v>5576810.1906159995</v>
      </c>
      <c r="I42" s="359"/>
      <c r="J42" s="366">
        <f>+H42/$E$3</f>
        <v>2.7355999999999998E-2</v>
      </c>
    </row>
    <row r="43" spans="1:11" x14ac:dyDescent="0.25">
      <c r="A43" s="355"/>
      <c r="B43" s="360" t="s">
        <v>382</v>
      </c>
      <c r="C43" s="357" t="s">
        <v>267</v>
      </c>
      <c r="D43" s="365">
        <v>0.04</v>
      </c>
      <c r="E43" s="358"/>
      <c r="F43" s="359">
        <f t="shared" si="6"/>
        <v>203860586</v>
      </c>
      <c r="G43" s="370">
        <f t="shared" si="7"/>
        <v>1.3677999999999999</v>
      </c>
      <c r="H43" s="359">
        <f t="shared" si="8"/>
        <v>11153620.381231999</v>
      </c>
      <c r="I43" s="359"/>
      <c r="J43" s="366">
        <f t="shared" si="9"/>
        <v>5.4711999999999997E-2</v>
      </c>
    </row>
    <row r="44" spans="1:11" x14ac:dyDescent="0.25">
      <c r="A44" s="355"/>
      <c r="B44" s="360" t="s">
        <v>429</v>
      </c>
      <c r="C44" s="357" t="s">
        <v>267</v>
      </c>
      <c r="D44" s="365">
        <v>1.4999999999999999E-2</v>
      </c>
      <c r="E44" s="358"/>
      <c r="F44" s="359">
        <f t="shared" si="6"/>
        <v>203860586</v>
      </c>
      <c r="G44" s="370">
        <f t="shared" si="7"/>
        <v>1.3677999999999999</v>
      </c>
      <c r="H44" s="359">
        <f t="shared" ref="H44" si="10">+F44*D44*G44</f>
        <v>4182607.6429619999</v>
      </c>
      <c r="I44" s="359"/>
      <c r="J44" s="366">
        <f t="shared" ref="J44" si="11">+H44/$E$3</f>
        <v>2.0517000000000001E-2</v>
      </c>
    </row>
    <row r="45" spans="1:11" x14ac:dyDescent="0.25">
      <c r="A45" s="355"/>
      <c r="B45" s="360" t="s">
        <v>430</v>
      </c>
      <c r="C45" s="357" t="s">
        <v>267</v>
      </c>
      <c r="D45" s="365">
        <v>0.02</v>
      </c>
      <c r="E45" s="358"/>
      <c r="F45" s="359">
        <f t="shared" si="6"/>
        <v>203860586</v>
      </c>
      <c r="G45" s="370">
        <f t="shared" si="7"/>
        <v>1.3677999999999999</v>
      </c>
      <c r="H45" s="359">
        <f t="shared" si="8"/>
        <v>5576810.1906159995</v>
      </c>
      <c r="I45" s="359"/>
      <c r="J45" s="366">
        <f t="shared" si="9"/>
        <v>2.7355999999999998E-2</v>
      </c>
    </row>
    <row r="46" spans="1:11" x14ac:dyDescent="0.25">
      <c r="A46" s="355"/>
      <c r="B46" s="360" t="s">
        <v>383</v>
      </c>
      <c r="C46" s="357" t="s">
        <v>267</v>
      </c>
      <c r="D46" s="365">
        <v>0</v>
      </c>
      <c r="E46" s="358"/>
      <c r="F46" s="359">
        <f t="shared" si="6"/>
        <v>203860586</v>
      </c>
      <c r="G46" s="370">
        <f t="shared" si="7"/>
        <v>1.3677999999999999</v>
      </c>
      <c r="H46" s="359">
        <f t="shared" si="8"/>
        <v>0</v>
      </c>
      <c r="I46" s="359"/>
      <c r="J46" s="366">
        <f t="shared" si="9"/>
        <v>0</v>
      </c>
    </row>
    <row r="47" spans="1:11" x14ac:dyDescent="0.25">
      <c r="A47" s="355"/>
      <c r="B47" s="360" t="s">
        <v>384</v>
      </c>
      <c r="C47" s="357" t="s">
        <v>267</v>
      </c>
      <c r="D47" s="365">
        <v>5.0000000000000001E-3</v>
      </c>
      <c r="E47" s="358"/>
      <c r="F47" s="359">
        <f t="shared" si="6"/>
        <v>203860586</v>
      </c>
      <c r="G47" s="370">
        <f t="shared" si="7"/>
        <v>1.3677999999999999</v>
      </c>
      <c r="H47" s="359">
        <f t="shared" si="8"/>
        <v>1394202.5476539999</v>
      </c>
      <c r="I47" s="359"/>
      <c r="J47" s="366">
        <f t="shared" si="9"/>
        <v>6.8389999999999996E-3</v>
      </c>
    </row>
    <row r="48" spans="1:11" x14ac:dyDescent="0.25">
      <c r="A48" s="371"/>
      <c r="B48" s="360" t="s">
        <v>385</v>
      </c>
      <c r="C48" s="357" t="s">
        <v>267</v>
      </c>
      <c r="D48" s="365">
        <v>5.0000000000000001E-3</v>
      </c>
      <c r="E48" s="358"/>
      <c r="F48" s="359">
        <f t="shared" si="6"/>
        <v>203860586</v>
      </c>
      <c r="G48" s="370">
        <f t="shared" si="7"/>
        <v>1.3677999999999999</v>
      </c>
      <c r="H48" s="359">
        <f t="shared" si="8"/>
        <v>1394202.5476539999</v>
      </c>
      <c r="I48" s="359"/>
      <c r="J48" s="366">
        <f t="shared" si="9"/>
        <v>6.8389999999999996E-3</v>
      </c>
    </row>
    <row r="49" spans="1:11" ht="13.8" thickBot="1" x14ac:dyDescent="0.3">
      <c r="A49" s="371"/>
      <c r="B49" s="360" t="s">
        <v>386</v>
      </c>
      <c r="C49" s="357" t="s">
        <v>267</v>
      </c>
      <c r="D49" s="365">
        <f>+IF(E5="SI",0,0.09*J52)</f>
        <v>0</v>
      </c>
      <c r="E49" s="358"/>
      <c r="F49" s="359">
        <f t="shared" si="6"/>
        <v>203860586</v>
      </c>
      <c r="G49" s="370">
        <f t="shared" si="7"/>
        <v>1.3677999999999999</v>
      </c>
      <c r="H49" s="359">
        <f t="shared" si="8"/>
        <v>0</v>
      </c>
      <c r="I49" s="359"/>
      <c r="J49" s="366">
        <f>+H49/$E$3</f>
        <v>0</v>
      </c>
    </row>
    <row r="50" spans="1:11" ht="13.8" thickBot="1" x14ac:dyDescent="0.3">
      <c r="A50" s="372"/>
      <c r="B50" s="373" t="s">
        <v>387</v>
      </c>
      <c r="C50" s="374"/>
      <c r="D50" s="375"/>
      <c r="E50" s="375"/>
      <c r="F50" s="376"/>
      <c r="G50" s="377"/>
      <c r="H50" s="378"/>
      <c r="I50" s="379">
        <f>SUM(I9:I49)</f>
        <v>58925643.563051201</v>
      </c>
      <c r="J50" s="380">
        <f>SUM(J8:J49)/3</f>
        <v>0.28904873040564699</v>
      </c>
      <c r="K50" s="363"/>
    </row>
    <row r="51" spans="1:11" x14ac:dyDescent="0.25">
      <c r="A51" s="381"/>
      <c r="B51" s="382" t="s">
        <v>388</v>
      </c>
      <c r="C51" s="350"/>
      <c r="D51" s="351"/>
      <c r="E51" s="351"/>
      <c r="F51" s="352"/>
      <c r="G51" s="353"/>
      <c r="H51" s="352"/>
      <c r="I51" s="352"/>
      <c r="J51" s="383">
        <v>0</v>
      </c>
    </row>
    <row r="52" spans="1:11" x14ac:dyDescent="0.25">
      <c r="A52" s="371"/>
      <c r="B52" s="384" t="s">
        <v>389</v>
      </c>
      <c r="C52" s="357"/>
      <c r="D52" s="358"/>
      <c r="E52" s="358"/>
      <c r="F52" s="359"/>
      <c r="G52" s="360"/>
      <c r="H52" s="359"/>
      <c r="I52" s="359"/>
      <c r="J52" s="366">
        <v>0.05</v>
      </c>
    </row>
    <row r="53" spans="1:11" ht="13.8" thickBot="1" x14ac:dyDescent="0.3">
      <c r="A53" s="371"/>
      <c r="B53" s="384" t="s">
        <v>390</v>
      </c>
      <c r="C53" s="357"/>
      <c r="D53" s="358"/>
      <c r="E53" s="358"/>
      <c r="F53" s="359"/>
      <c r="G53" s="360"/>
      <c r="H53" s="359"/>
      <c r="I53" s="385"/>
      <c r="J53" s="366">
        <f>J52*I53</f>
        <v>0</v>
      </c>
    </row>
    <row r="54" spans="1:11" ht="13.8" thickBot="1" x14ac:dyDescent="0.3">
      <c r="A54" s="372"/>
      <c r="B54" s="373" t="s">
        <v>391</v>
      </c>
      <c r="C54" s="374"/>
      <c r="D54" s="375"/>
      <c r="E54" s="375"/>
      <c r="F54" s="376"/>
      <c r="G54" s="377"/>
      <c r="H54" s="378"/>
      <c r="I54" s="379"/>
      <c r="J54" s="380">
        <f>+ROUND((SUM(J50:J53)),2)</f>
        <v>0.34</v>
      </c>
      <c r="K54" s="363"/>
    </row>
    <row r="56" spans="1:11" x14ac:dyDescent="0.25">
      <c r="A56" s="386"/>
      <c r="B56" s="386"/>
      <c r="C56" s="386"/>
    </row>
    <row r="58" spans="1:11" s="347" customFormat="1" ht="27" hidden="1" thickBot="1" x14ac:dyDescent="0.35">
      <c r="A58" s="387"/>
      <c r="B58" s="343" t="s">
        <v>392</v>
      </c>
      <c r="C58" s="343"/>
      <c r="D58" s="342" t="s">
        <v>393</v>
      </c>
      <c r="E58" s="344" t="s">
        <v>277</v>
      </c>
      <c r="F58" s="343" t="s">
        <v>394</v>
      </c>
      <c r="H58" s="388"/>
      <c r="I58" s="388"/>
      <c r="J58" s="389"/>
      <c r="K58" s="346"/>
    </row>
    <row r="59" spans="1:11" hidden="1" x14ac:dyDescent="0.25">
      <c r="B59" s="390" t="s">
        <v>395</v>
      </c>
      <c r="C59" s="391"/>
      <c r="D59" s="392"/>
      <c r="E59" s="393">
        <v>0.02</v>
      </c>
      <c r="F59" s="392"/>
    </row>
    <row r="60" spans="1:11" hidden="1" x14ac:dyDescent="0.25">
      <c r="B60" s="394" t="s">
        <v>396</v>
      </c>
      <c r="C60" s="395"/>
      <c r="D60" s="396"/>
      <c r="E60" s="397">
        <v>0.01</v>
      </c>
      <c r="F60" s="396"/>
    </row>
    <row r="61" spans="1:11" hidden="1" x14ac:dyDescent="0.25">
      <c r="B61" s="394" t="s">
        <v>397</v>
      </c>
      <c r="C61" s="395"/>
      <c r="D61" s="396">
        <v>53000000</v>
      </c>
      <c r="E61" s="397">
        <v>7.4999999999999997E-3</v>
      </c>
      <c r="F61" s="396"/>
    </row>
    <row r="62" spans="1:11" hidden="1" x14ac:dyDescent="0.25">
      <c r="B62" s="394" t="s">
        <v>398</v>
      </c>
      <c r="C62" s="395"/>
      <c r="D62" s="396"/>
      <c r="E62" s="398">
        <v>0.01</v>
      </c>
      <c r="F62" s="396"/>
    </row>
    <row r="63" spans="1:11" hidden="1" x14ac:dyDescent="0.25">
      <c r="B63" s="394" t="s">
        <v>399</v>
      </c>
      <c r="C63" s="395"/>
      <c r="D63" s="396"/>
      <c r="E63" s="397"/>
      <c r="F63" s="396">
        <v>5530</v>
      </c>
    </row>
    <row r="64" spans="1:11" hidden="1" x14ac:dyDescent="0.25">
      <c r="B64" s="394" t="s">
        <v>400</v>
      </c>
      <c r="C64" s="395"/>
      <c r="D64" s="396"/>
      <c r="E64" s="397">
        <v>0.05</v>
      </c>
      <c r="F64" s="396"/>
    </row>
    <row r="65" spans="2:6" ht="13.8" hidden="1" thickBot="1" x14ac:dyDescent="0.3">
      <c r="B65" s="399" t="s">
        <v>401</v>
      </c>
      <c r="C65" s="400"/>
      <c r="D65" s="401"/>
      <c r="E65" s="402">
        <v>4.0000000000000001E-3</v>
      </c>
      <c r="F65" s="401"/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119" scale="53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96"/>
  <sheetViews>
    <sheetView view="pageBreakPreview" topLeftCell="A34" zoomScaleNormal="100" zoomScaleSheetLayoutView="100" workbookViewId="0">
      <selection activeCell="D95" sqref="D95"/>
    </sheetView>
  </sheetViews>
  <sheetFormatPr baseColWidth="10" defaultColWidth="11.44140625" defaultRowHeight="14.4" x14ac:dyDescent="0.3"/>
  <cols>
    <col min="1" max="1" width="40.33203125" style="294" customWidth="1"/>
    <col min="2" max="2" width="14.44140625" style="294" bestFit="1" customWidth="1"/>
    <col min="3" max="3" width="13.6640625" style="294" bestFit="1" customWidth="1"/>
    <col min="4" max="4" width="37.6640625" style="294" bestFit="1" customWidth="1"/>
    <col min="5" max="5" width="11.44140625" style="294"/>
    <col min="6" max="7" width="12.5546875" style="294" bestFit="1" customWidth="1"/>
    <col min="8" max="16384" width="11.44140625" style="294"/>
  </cols>
  <sheetData>
    <row r="1" spans="1:8" x14ac:dyDescent="0.3">
      <c r="A1" s="664" t="s">
        <v>270</v>
      </c>
      <c r="B1" s="664"/>
      <c r="C1" s="664"/>
      <c r="D1" s="664"/>
    </row>
    <row r="3" spans="1:8" s="295" customFormat="1" x14ac:dyDescent="0.3">
      <c r="B3" s="295" t="s">
        <v>271</v>
      </c>
      <c r="C3" s="295" t="s">
        <v>272</v>
      </c>
    </row>
    <row r="4" spans="1:8" x14ac:dyDescent="0.3">
      <c r="A4" s="294" t="s">
        <v>273</v>
      </c>
      <c r="B4" s="296">
        <v>1600000</v>
      </c>
      <c r="C4" s="297">
        <f>B4/30</f>
        <v>53333.333333333336</v>
      </c>
      <c r="F4" s="297"/>
    </row>
    <row r="5" spans="1:8" x14ac:dyDescent="0.3">
      <c r="A5" s="294" t="s">
        <v>274</v>
      </c>
      <c r="B5" s="296">
        <v>140606</v>
      </c>
      <c r="C5" s="298">
        <f>B5/30</f>
        <v>4686.8666666666668</v>
      </c>
      <c r="F5" s="297"/>
    </row>
    <row r="6" spans="1:8" x14ac:dyDescent="0.3">
      <c r="F6" s="297"/>
    </row>
    <row r="7" spans="1:8" x14ac:dyDescent="0.3">
      <c r="A7" s="299" t="s">
        <v>275</v>
      </c>
      <c r="B7" s="300" t="s">
        <v>276</v>
      </c>
      <c r="C7" s="300" t="s">
        <v>277</v>
      </c>
      <c r="D7" s="299" t="s">
        <v>278</v>
      </c>
      <c r="G7" s="301"/>
    </row>
    <row r="8" spans="1:8" x14ac:dyDescent="0.3">
      <c r="A8" s="302" t="s">
        <v>279</v>
      </c>
      <c r="B8" s="303">
        <f>ROUND(C4,0)</f>
        <v>53333</v>
      </c>
      <c r="C8" s="304">
        <f>ROUND(B8/$C$4,5)</f>
        <v>0.99999000000000005</v>
      </c>
      <c r="D8" s="305" t="s">
        <v>280</v>
      </c>
    </row>
    <row r="9" spans="1:8" x14ac:dyDescent="0.3">
      <c r="A9" s="302" t="s">
        <v>281</v>
      </c>
      <c r="B9" s="303">
        <f>ROUND(C5,0)</f>
        <v>4687</v>
      </c>
      <c r="C9" s="304">
        <f t="shared" ref="C9:C22" si="0">ROUND(B9/$C$4,5)</f>
        <v>8.788E-2</v>
      </c>
      <c r="D9" s="305" t="s">
        <v>282</v>
      </c>
    </row>
    <row r="10" spans="1:8" x14ac:dyDescent="0.3">
      <c r="A10" s="302" t="s">
        <v>283</v>
      </c>
      <c r="B10" s="303">
        <f>ROUND((C4+C5)*(30/360),0)</f>
        <v>4835</v>
      </c>
      <c r="C10" s="304">
        <f t="shared" si="0"/>
        <v>9.0660000000000004E-2</v>
      </c>
      <c r="D10" s="305" t="s">
        <v>284</v>
      </c>
    </row>
    <row r="11" spans="1:8" x14ac:dyDescent="0.3">
      <c r="A11" s="302" t="s">
        <v>285</v>
      </c>
      <c r="B11" s="303">
        <f>ROUND(B10*1%,0)</f>
        <v>48</v>
      </c>
      <c r="C11" s="304">
        <f t="shared" si="0"/>
        <v>8.9999999999999998E-4</v>
      </c>
      <c r="D11" s="305" t="s">
        <v>286</v>
      </c>
    </row>
    <row r="12" spans="1:8" x14ac:dyDescent="0.3">
      <c r="A12" s="302" t="s">
        <v>287</v>
      </c>
      <c r="B12" s="303">
        <f>ROUND((C4+C5)*(30/360),0)</f>
        <v>4835</v>
      </c>
      <c r="C12" s="304">
        <f t="shared" si="0"/>
        <v>9.0660000000000004E-2</v>
      </c>
      <c r="D12" s="305" t="s">
        <v>284</v>
      </c>
    </row>
    <row r="13" spans="1:8" x14ac:dyDescent="0.3">
      <c r="A13" s="302" t="s">
        <v>288</v>
      </c>
      <c r="B13" s="303">
        <f>ROUND(C4*0.0417,0)</f>
        <v>2224</v>
      </c>
      <c r="C13" s="304">
        <f t="shared" si="0"/>
        <v>4.1700000000000001E-2</v>
      </c>
      <c r="D13" s="305" t="s">
        <v>289</v>
      </c>
      <c r="F13" s="298"/>
      <c r="G13" s="297"/>
      <c r="H13" s="297"/>
    </row>
    <row r="14" spans="1:8" x14ac:dyDescent="0.3">
      <c r="A14" s="302" t="s">
        <v>290</v>
      </c>
      <c r="B14" s="303">
        <f>ROUND(C4*8.5%,0)</f>
        <v>4533</v>
      </c>
      <c r="C14" s="304">
        <f t="shared" si="0"/>
        <v>8.4989999999999996E-2</v>
      </c>
      <c r="D14" s="305" t="s">
        <v>291</v>
      </c>
    </row>
    <row r="15" spans="1:8" x14ac:dyDescent="0.3">
      <c r="A15" s="302" t="s">
        <v>292</v>
      </c>
      <c r="B15" s="303">
        <f>ROUND(C4*12%,0)</f>
        <v>6400</v>
      </c>
      <c r="C15" s="304">
        <f t="shared" si="0"/>
        <v>0.12</v>
      </c>
      <c r="D15" s="305" t="s">
        <v>293</v>
      </c>
    </row>
    <row r="16" spans="1:8" x14ac:dyDescent="0.3">
      <c r="A16" s="302" t="s">
        <v>294</v>
      </c>
      <c r="B16" s="303">
        <f>ROUND(C4*6.96%,0)</f>
        <v>3712</v>
      </c>
      <c r="C16" s="304">
        <f t="shared" si="0"/>
        <v>6.9599999999999995E-2</v>
      </c>
      <c r="D16" s="305" t="s">
        <v>295</v>
      </c>
    </row>
    <row r="17" spans="1:7" x14ac:dyDescent="0.3">
      <c r="A17" s="302" t="s">
        <v>296</v>
      </c>
      <c r="B17" s="303">
        <f>ROUND(C4*4%,0)</f>
        <v>2133</v>
      </c>
      <c r="C17" s="304">
        <f t="shared" si="0"/>
        <v>3.9989999999999998E-2</v>
      </c>
      <c r="D17" s="305" t="s">
        <v>297</v>
      </c>
    </row>
    <row r="18" spans="1:7" x14ac:dyDescent="0.3">
      <c r="A18" s="302" t="s">
        <v>298</v>
      </c>
      <c r="B18" s="303">
        <f>ROUND(C4*2%,0)</f>
        <v>1067</v>
      </c>
      <c r="C18" s="304">
        <f t="shared" si="0"/>
        <v>2.001E-2</v>
      </c>
      <c r="D18" s="305" t="s">
        <v>299</v>
      </c>
    </row>
    <row r="19" spans="1:7" x14ac:dyDescent="0.3">
      <c r="A19" s="302" t="s">
        <v>300</v>
      </c>
      <c r="B19" s="303">
        <f>ROUND(C4*3%,0)</f>
        <v>1600</v>
      </c>
      <c r="C19" s="304">
        <f t="shared" si="0"/>
        <v>0.03</v>
      </c>
      <c r="D19" s="305" t="s">
        <v>301</v>
      </c>
    </row>
    <row r="20" spans="1:7" x14ac:dyDescent="0.3">
      <c r="A20" s="302" t="s">
        <v>302</v>
      </c>
      <c r="B20" s="303">
        <f>ROUND(C4*2%,0)</f>
        <v>1067</v>
      </c>
      <c r="C20" s="304">
        <f t="shared" si="0"/>
        <v>2.001E-2</v>
      </c>
      <c r="D20" s="305" t="s">
        <v>299</v>
      </c>
    </row>
    <row r="21" spans="1:7" ht="22.8" x14ac:dyDescent="0.3">
      <c r="A21" s="306" t="s">
        <v>303</v>
      </c>
      <c r="B21" s="303">
        <f>((B4*12)/40)/360</f>
        <v>1333.3333333333333</v>
      </c>
      <c r="C21" s="304">
        <f t="shared" si="0"/>
        <v>2.5000000000000001E-2</v>
      </c>
      <c r="D21" s="307" t="s">
        <v>304</v>
      </c>
      <c r="F21" s="298"/>
      <c r="G21" s="297"/>
    </row>
    <row r="22" spans="1:7" x14ac:dyDescent="0.3">
      <c r="A22" s="302" t="s">
        <v>305</v>
      </c>
      <c r="B22" s="303">
        <f>ROUND(400000/360,0)</f>
        <v>1111</v>
      </c>
      <c r="C22" s="304">
        <f t="shared" si="0"/>
        <v>2.0830000000000001E-2</v>
      </c>
      <c r="D22" s="305" t="s">
        <v>306</v>
      </c>
    </row>
    <row r="23" spans="1:7" x14ac:dyDescent="0.3">
      <c r="B23" s="308">
        <f>SUM(B8:B22)</f>
        <v>92918.333333333328</v>
      </c>
      <c r="C23" s="309">
        <f>SUM(C8:C22)</f>
        <v>1.7422199999999997</v>
      </c>
    </row>
    <row r="24" spans="1:7" x14ac:dyDescent="0.3">
      <c r="B24" s="297"/>
      <c r="C24" s="310"/>
    </row>
    <row r="26" spans="1:7" x14ac:dyDescent="0.3">
      <c r="A26" s="664" t="s">
        <v>307</v>
      </c>
      <c r="B26" s="664"/>
      <c r="C26" s="664"/>
      <c r="D26" s="664"/>
    </row>
    <row r="28" spans="1:7" x14ac:dyDescent="0.3">
      <c r="A28" s="295"/>
      <c r="B28" s="295" t="s">
        <v>271</v>
      </c>
      <c r="C28" s="295" t="s">
        <v>272</v>
      </c>
      <c r="D28" s="295"/>
    </row>
    <row r="29" spans="1:7" x14ac:dyDescent="0.3">
      <c r="A29" s="294" t="s">
        <v>273</v>
      </c>
      <c r="B29" s="296">
        <f>B4*2</f>
        <v>3200000</v>
      </c>
      <c r="C29" s="297">
        <f>B29/30</f>
        <v>106666.66666666667</v>
      </c>
    </row>
    <row r="30" spans="1:7" x14ac:dyDescent="0.3">
      <c r="A30" s="294" t="s">
        <v>274</v>
      </c>
      <c r="B30" s="296">
        <v>0</v>
      </c>
      <c r="C30" s="298">
        <f>B30/30</f>
        <v>0</v>
      </c>
    </row>
    <row r="32" spans="1:7" x14ac:dyDescent="0.3">
      <c r="A32" s="299" t="s">
        <v>275</v>
      </c>
      <c r="B32" s="300" t="s">
        <v>276</v>
      </c>
      <c r="C32" s="300" t="s">
        <v>277</v>
      </c>
      <c r="D32" s="299" t="s">
        <v>278</v>
      </c>
    </row>
    <row r="33" spans="1:4" x14ac:dyDescent="0.3">
      <c r="A33" s="302" t="s">
        <v>279</v>
      </c>
      <c r="B33" s="311">
        <f>ROUND(C29,0)</f>
        <v>106667</v>
      </c>
      <c r="C33" s="312">
        <f t="shared" ref="C33:C46" si="1">ROUND(B33/$C$29,5)</f>
        <v>1</v>
      </c>
      <c r="D33" s="305" t="s">
        <v>280</v>
      </c>
    </row>
    <row r="34" spans="1:4" x14ac:dyDescent="0.3">
      <c r="A34" s="302" t="s">
        <v>281</v>
      </c>
      <c r="B34" s="311">
        <f>ROUND(C30,0)</f>
        <v>0</v>
      </c>
      <c r="C34" s="312">
        <f t="shared" si="1"/>
        <v>0</v>
      </c>
      <c r="D34" s="305" t="s">
        <v>282</v>
      </c>
    </row>
    <row r="35" spans="1:4" x14ac:dyDescent="0.3">
      <c r="A35" s="302" t="s">
        <v>283</v>
      </c>
      <c r="B35" s="311">
        <f>ROUND((C29+C30)*(30/360),0)</f>
        <v>8889</v>
      </c>
      <c r="C35" s="312">
        <f t="shared" si="1"/>
        <v>8.3330000000000001E-2</v>
      </c>
      <c r="D35" s="305" t="s">
        <v>284</v>
      </c>
    </row>
    <row r="36" spans="1:4" x14ac:dyDescent="0.3">
      <c r="A36" s="302" t="s">
        <v>285</v>
      </c>
      <c r="B36" s="311">
        <f>ROUND(B35*1%,0)</f>
        <v>89</v>
      </c>
      <c r="C36" s="312">
        <f t="shared" si="1"/>
        <v>8.3000000000000001E-4</v>
      </c>
      <c r="D36" s="305" t="s">
        <v>286</v>
      </c>
    </row>
    <row r="37" spans="1:4" x14ac:dyDescent="0.3">
      <c r="A37" s="302" t="s">
        <v>287</v>
      </c>
      <c r="B37" s="311">
        <f>ROUND((C29+C30)*(30/360),0)</f>
        <v>8889</v>
      </c>
      <c r="C37" s="312">
        <f t="shared" si="1"/>
        <v>8.3330000000000001E-2</v>
      </c>
      <c r="D37" s="305" t="s">
        <v>284</v>
      </c>
    </row>
    <row r="38" spans="1:4" x14ac:dyDescent="0.3">
      <c r="A38" s="302" t="s">
        <v>288</v>
      </c>
      <c r="B38" s="311">
        <f>ROUND(C29*0.0417,0)</f>
        <v>4448</v>
      </c>
      <c r="C38" s="312">
        <f t="shared" si="1"/>
        <v>4.1700000000000001E-2</v>
      </c>
      <c r="D38" s="305" t="s">
        <v>289</v>
      </c>
    </row>
    <row r="39" spans="1:4" x14ac:dyDescent="0.3">
      <c r="A39" s="302" t="s">
        <v>290</v>
      </c>
      <c r="B39" s="311">
        <f>ROUND(C29*8.5%,0)</f>
        <v>9067</v>
      </c>
      <c r="C39" s="312">
        <f t="shared" si="1"/>
        <v>8.5000000000000006E-2</v>
      </c>
      <c r="D39" s="305" t="s">
        <v>291</v>
      </c>
    </row>
    <row r="40" spans="1:4" x14ac:dyDescent="0.3">
      <c r="A40" s="302" t="s">
        <v>292</v>
      </c>
      <c r="B40" s="311">
        <f>ROUND(C29*12%,0)</f>
        <v>12800</v>
      </c>
      <c r="C40" s="312">
        <f t="shared" si="1"/>
        <v>0.12</v>
      </c>
      <c r="D40" s="305" t="s">
        <v>293</v>
      </c>
    </row>
    <row r="41" spans="1:4" x14ac:dyDescent="0.3">
      <c r="A41" s="302" t="s">
        <v>294</v>
      </c>
      <c r="B41" s="311">
        <f>ROUND(C29*6.96%,0)</f>
        <v>7424</v>
      </c>
      <c r="C41" s="312">
        <f t="shared" si="1"/>
        <v>6.9599999999999995E-2</v>
      </c>
      <c r="D41" s="305" t="s">
        <v>295</v>
      </c>
    </row>
    <row r="42" spans="1:4" x14ac:dyDescent="0.3">
      <c r="A42" s="302" t="s">
        <v>296</v>
      </c>
      <c r="B42" s="311">
        <f>ROUND(C29*4%,0)</f>
        <v>4267</v>
      </c>
      <c r="C42" s="312">
        <f t="shared" si="1"/>
        <v>0.04</v>
      </c>
      <c r="D42" s="305" t="s">
        <v>297</v>
      </c>
    </row>
    <row r="43" spans="1:4" x14ac:dyDescent="0.3">
      <c r="A43" s="302" t="s">
        <v>298</v>
      </c>
      <c r="B43" s="303">
        <f>ROUND(C29*2%,0)</f>
        <v>2133</v>
      </c>
      <c r="C43" s="304">
        <f>ROUND(B43/$C$29,5)</f>
        <v>0.02</v>
      </c>
      <c r="D43" s="305" t="s">
        <v>299</v>
      </c>
    </row>
    <row r="44" spans="1:4" x14ac:dyDescent="0.3">
      <c r="A44" s="302" t="s">
        <v>300</v>
      </c>
      <c r="B44" s="303">
        <f>ROUND(C29*3%,0)</f>
        <v>3200</v>
      </c>
      <c r="C44" s="304">
        <f>ROUND(B44/$C$29,5)</f>
        <v>0.03</v>
      </c>
      <c r="D44" s="305" t="s">
        <v>301</v>
      </c>
    </row>
    <row r="45" spans="1:4" x14ac:dyDescent="0.3">
      <c r="A45" s="302" t="s">
        <v>302</v>
      </c>
      <c r="B45" s="311">
        <f>ROUND(C29*2%,0)</f>
        <v>2133</v>
      </c>
      <c r="C45" s="312">
        <f t="shared" si="1"/>
        <v>0.02</v>
      </c>
      <c r="D45" s="305" t="s">
        <v>299</v>
      </c>
    </row>
    <row r="46" spans="1:4" ht="22.8" x14ac:dyDescent="0.3">
      <c r="A46" s="306" t="s">
        <v>303</v>
      </c>
      <c r="B46" s="311">
        <f>((B29*12)/40)/360</f>
        <v>2666.6666666666665</v>
      </c>
      <c r="C46" s="312">
        <f t="shared" si="1"/>
        <v>2.5000000000000001E-2</v>
      </c>
      <c r="D46" s="307" t="s">
        <v>304</v>
      </c>
    </row>
    <row r="47" spans="1:4" x14ac:dyDescent="0.3">
      <c r="B47" s="308">
        <f>SUM(B33:B46)</f>
        <v>172672.66666666666</v>
      </c>
      <c r="C47" s="309">
        <f>SUM(C33:C46)</f>
        <v>1.61879</v>
      </c>
    </row>
    <row r="50" spans="1:4" x14ac:dyDescent="0.3">
      <c r="A50" s="664" t="s">
        <v>308</v>
      </c>
      <c r="B50" s="664"/>
      <c r="C50" s="664"/>
      <c r="D50" s="664"/>
    </row>
    <row r="52" spans="1:4" x14ac:dyDescent="0.3">
      <c r="A52" s="295"/>
      <c r="B52" s="295" t="s">
        <v>271</v>
      </c>
      <c r="C52" s="295" t="s">
        <v>272</v>
      </c>
      <c r="D52" s="295"/>
    </row>
    <row r="53" spans="1:4" x14ac:dyDescent="0.3">
      <c r="A53" s="294" t="s">
        <v>273</v>
      </c>
      <c r="B53" s="296">
        <v>1600000</v>
      </c>
      <c r="C53" s="297">
        <f>B53/30</f>
        <v>53333.333333333336</v>
      </c>
    </row>
    <row r="54" spans="1:4" x14ac:dyDescent="0.3">
      <c r="A54" s="294" t="s">
        <v>274</v>
      </c>
      <c r="B54" s="296">
        <v>140606</v>
      </c>
      <c r="C54" s="298">
        <f>B54/30</f>
        <v>4686.8666666666668</v>
      </c>
    </row>
    <row r="56" spans="1:4" x14ac:dyDescent="0.3">
      <c r="A56" s="299" t="s">
        <v>275</v>
      </c>
      <c r="B56" s="300" t="s">
        <v>276</v>
      </c>
      <c r="C56" s="300" t="s">
        <v>277</v>
      </c>
      <c r="D56" s="299" t="s">
        <v>278</v>
      </c>
    </row>
    <row r="57" spans="1:4" x14ac:dyDescent="0.3">
      <c r="A57" s="302" t="s">
        <v>279</v>
      </c>
      <c r="B57" s="311">
        <f>ROUND(C53,0)</f>
        <v>53333</v>
      </c>
      <c r="C57" s="312">
        <f>ROUND(B57/$C$4,5)</f>
        <v>0.99999000000000005</v>
      </c>
      <c r="D57" s="305" t="s">
        <v>280</v>
      </c>
    </row>
    <row r="58" spans="1:4" x14ac:dyDescent="0.3">
      <c r="A58" s="302" t="s">
        <v>281</v>
      </c>
      <c r="B58" s="311">
        <f>ROUND(C54,0)</f>
        <v>4687</v>
      </c>
      <c r="C58" s="312">
        <f t="shared" ref="C58:C71" si="2">ROUND(B58/$C$4,5)</f>
        <v>8.788E-2</v>
      </c>
      <c r="D58" s="305" t="s">
        <v>282</v>
      </c>
    </row>
    <row r="59" spans="1:4" x14ac:dyDescent="0.3">
      <c r="A59" s="302" t="s">
        <v>283</v>
      </c>
      <c r="B59" s="311">
        <f>ROUND((C53+C54)*(30/360),0)</f>
        <v>4835</v>
      </c>
      <c r="C59" s="312">
        <f t="shared" si="2"/>
        <v>9.0660000000000004E-2</v>
      </c>
      <c r="D59" s="305" t="s">
        <v>284</v>
      </c>
    </row>
    <row r="60" spans="1:4" x14ac:dyDescent="0.3">
      <c r="A60" s="302" t="s">
        <v>285</v>
      </c>
      <c r="B60" s="311">
        <f>ROUND(B59*1%,0)</f>
        <v>48</v>
      </c>
      <c r="C60" s="312">
        <f t="shared" si="2"/>
        <v>8.9999999999999998E-4</v>
      </c>
      <c r="D60" s="305" t="s">
        <v>286</v>
      </c>
    </row>
    <row r="61" spans="1:4" x14ac:dyDescent="0.3">
      <c r="A61" s="302" t="s">
        <v>287</v>
      </c>
      <c r="B61" s="311">
        <f>ROUND((C53+C54)*(30/360),0)</f>
        <v>4835</v>
      </c>
      <c r="C61" s="312">
        <f t="shared" si="2"/>
        <v>9.0660000000000004E-2</v>
      </c>
      <c r="D61" s="305" t="s">
        <v>284</v>
      </c>
    </row>
    <row r="62" spans="1:4" x14ac:dyDescent="0.3">
      <c r="A62" s="302" t="s">
        <v>288</v>
      </c>
      <c r="B62" s="311">
        <f>ROUND(C53*0.0417,0)</f>
        <v>2224</v>
      </c>
      <c r="C62" s="312">
        <f t="shared" si="2"/>
        <v>4.1700000000000001E-2</v>
      </c>
      <c r="D62" s="305" t="s">
        <v>289</v>
      </c>
    </row>
    <row r="63" spans="1:4" x14ac:dyDescent="0.3">
      <c r="A63" s="302" t="s">
        <v>290</v>
      </c>
      <c r="B63" s="311">
        <f>ROUND(C53*8.5%,0)</f>
        <v>4533</v>
      </c>
      <c r="C63" s="312">
        <f t="shared" si="2"/>
        <v>8.4989999999999996E-2</v>
      </c>
      <c r="D63" s="305" t="s">
        <v>291</v>
      </c>
    </row>
    <row r="64" spans="1:4" x14ac:dyDescent="0.3">
      <c r="A64" s="302" t="s">
        <v>292</v>
      </c>
      <c r="B64" s="311">
        <f>ROUND(C53*12%,0)</f>
        <v>6400</v>
      </c>
      <c r="C64" s="312">
        <f t="shared" si="2"/>
        <v>0.12</v>
      </c>
      <c r="D64" s="305" t="s">
        <v>293</v>
      </c>
    </row>
    <row r="65" spans="1:4" x14ac:dyDescent="0.3">
      <c r="A65" s="302" t="s">
        <v>294</v>
      </c>
      <c r="B65" s="311">
        <f>ROUND(C53*2.436%,0)</f>
        <v>1299</v>
      </c>
      <c r="C65" s="312">
        <f t="shared" si="2"/>
        <v>2.436E-2</v>
      </c>
      <c r="D65" s="305" t="s">
        <v>309</v>
      </c>
    </row>
    <row r="66" spans="1:4" x14ac:dyDescent="0.3">
      <c r="A66" s="302" t="s">
        <v>296</v>
      </c>
      <c r="B66" s="311">
        <f>ROUND(C53*4%,0)</f>
        <v>2133</v>
      </c>
      <c r="C66" s="312">
        <f t="shared" si="2"/>
        <v>3.9989999999999998E-2</v>
      </c>
      <c r="D66" s="305" t="s">
        <v>297</v>
      </c>
    </row>
    <row r="67" spans="1:4" x14ac:dyDescent="0.3">
      <c r="A67" s="302" t="s">
        <v>298</v>
      </c>
      <c r="B67" s="303">
        <f>ROUND(C53*2%,0)</f>
        <v>1067</v>
      </c>
      <c r="C67" s="304">
        <f>ROUND(B67/$C$53,5)</f>
        <v>2.001E-2</v>
      </c>
      <c r="D67" s="305" t="s">
        <v>299</v>
      </c>
    </row>
    <row r="68" spans="1:4" x14ac:dyDescent="0.3">
      <c r="A68" s="302" t="s">
        <v>300</v>
      </c>
      <c r="B68" s="303">
        <f>ROUND(C53*3%,0)</f>
        <v>1600</v>
      </c>
      <c r="C68" s="304">
        <f>ROUND(B68/$C$53,5)</f>
        <v>0.03</v>
      </c>
      <c r="D68" s="305" t="s">
        <v>301</v>
      </c>
    </row>
    <row r="69" spans="1:4" x14ac:dyDescent="0.3">
      <c r="A69" s="302" t="s">
        <v>302</v>
      </c>
      <c r="B69" s="311">
        <f>ROUND(C53*2%,0)</f>
        <v>1067</v>
      </c>
      <c r="C69" s="312">
        <f t="shared" si="2"/>
        <v>2.001E-2</v>
      </c>
      <c r="D69" s="305" t="s">
        <v>299</v>
      </c>
    </row>
    <row r="70" spans="1:4" x14ac:dyDescent="0.3">
      <c r="A70" s="302" t="s">
        <v>305</v>
      </c>
      <c r="B70" s="303">
        <f>ROUND(400000/360,0)</f>
        <v>1111</v>
      </c>
      <c r="C70" s="304">
        <f t="shared" si="2"/>
        <v>2.0830000000000001E-2</v>
      </c>
      <c r="D70" s="305" t="s">
        <v>306</v>
      </c>
    </row>
    <row r="71" spans="1:4" ht="22.8" x14ac:dyDescent="0.3">
      <c r="A71" s="306" t="s">
        <v>303</v>
      </c>
      <c r="B71" s="311">
        <f>((B53*12)/40)/360</f>
        <v>1333.3333333333333</v>
      </c>
      <c r="C71" s="312">
        <f t="shared" si="2"/>
        <v>2.5000000000000001E-2</v>
      </c>
      <c r="D71" s="307" t="s">
        <v>304</v>
      </c>
    </row>
    <row r="72" spans="1:4" x14ac:dyDescent="0.3">
      <c r="B72" s="308">
        <f>SUM(B57:B71)</f>
        <v>90505.333333333328</v>
      </c>
      <c r="C72" s="309">
        <f>SUM(C57:C71)</f>
        <v>1.6969799999999997</v>
      </c>
    </row>
    <row r="75" spans="1:4" x14ac:dyDescent="0.3">
      <c r="A75" s="664" t="s">
        <v>310</v>
      </c>
      <c r="B75" s="664"/>
      <c r="C75" s="664"/>
      <c r="D75" s="664"/>
    </row>
    <row r="77" spans="1:4" x14ac:dyDescent="0.3">
      <c r="A77" s="295"/>
      <c r="B77" s="295" t="s">
        <v>271</v>
      </c>
      <c r="C77" s="314" t="s">
        <v>312</v>
      </c>
      <c r="D77" s="314" t="s">
        <v>314</v>
      </c>
    </row>
    <row r="78" spans="1:4" x14ac:dyDescent="0.3">
      <c r="A78" s="313" t="s">
        <v>311</v>
      </c>
      <c r="B78" s="296">
        <v>1900000</v>
      </c>
      <c r="C78" s="315">
        <v>1.74</v>
      </c>
      <c r="D78" s="316">
        <f>+B78*C78</f>
        <v>3306000</v>
      </c>
    </row>
    <row r="79" spans="1:4" x14ac:dyDescent="0.3">
      <c r="A79" s="313" t="s">
        <v>313</v>
      </c>
      <c r="B79" s="296">
        <v>1160000</v>
      </c>
      <c r="C79" s="315">
        <v>1.74</v>
      </c>
      <c r="D79" s="316">
        <f>+B79*C79</f>
        <v>2018400</v>
      </c>
    </row>
    <row r="81" spans="1:4" x14ac:dyDescent="0.3">
      <c r="A81" s="299" t="s">
        <v>316</v>
      </c>
      <c r="B81" s="300" t="s">
        <v>317</v>
      </c>
      <c r="C81" s="300" t="s">
        <v>318</v>
      </c>
      <c r="D81" s="299" t="s">
        <v>319</v>
      </c>
    </row>
    <row r="82" spans="1:4" x14ac:dyDescent="0.3">
      <c r="A82" s="302" t="s">
        <v>315</v>
      </c>
      <c r="B82" s="319">
        <v>1</v>
      </c>
      <c r="C82" s="319">
        <v>1</v>
      </c>
      <c r="D82" s="317">
        <f>+(($D$78*B82)/240)+(($D$79*C82)/240)</f>
        <v>22185</v>
      </c>
    </row>
    <row r="83" spans="1:4" x14ac:dyDescent="0.3">
      <c r="A83" s="302" t="s">
        <v>320</v>
      </c>
      <c r="B83" s="319">
        <v>1</v>
      </c>
      <c r="C83" s="319">
        <v>2</v>
      </c>
      <c r="D83" s="317">
        <f t="shared" ref="D83:D92" si="3">+(($D$78*B83)/240)+(($D$79*C83)/240)</f>
        <v>30595</v>
      </c>
    </row>
    <row r="84" spans="1:4" x14ac:dyDescent="0.3">
      <c r="A84" s="302" t="s">
        <v>321</v>
      </c>
      <c r="B84" s="319">
        <v>1</v>
      </c>
      <c r="C84" s="319">
        <v>3</v>
      </c>
      <c r="D84" s="317">
        <f t="shared" si="3"/>
        <v>39005</v>
      </c>
    </row>
    <row r="85" spans="1:4" x14ac:dyDescent="0.3">
      <c r="A85" s="302" t="s">
        <v>322</v>
      </c>
      <c r="B85" s="319">
        <v>1</v>
      </c>
      <c r="C85" s="319">
        <v>4</v>
      </c>
      <c r="D85" s="317">
        <f t="shared" si="3"/>
        <v>47415</v>
      </c>
    </row>
    <row r="86" spans="1:4" x14ac:dyDescent="0.3">
      <c r="A86" s="302" t="s">
        <v>323</v>
      </c>
      <c r="B86" s="319">
        <v>1</v>
      </c>
      <c r="C86" s="319">
        <v>5</v>
      </c>
      <c r="D86" s="317">
        <f t="shared" si="3"/>
        <v>55825</v>
      </c>
    </row>
    <row r="87" spans="1:4" x14ac:dyDescent="0.3">
      <c r="A87" s="302" t="s">
        <v>324</v>
      </c>
      <c r="B87" s="319">
        <v>1</v>
      </c>
      <c r="C87" s="319">
        <v>6</v>
      </c>
      <c r="D87" s="317">
        <f t="shared" si="3"/>
        <v>64235</v>
      </c>
    </row>
    <row r="88" spans="1:4" x14ac:dyDescent="0.3">
      <c r="A88" s="302" t="s">
        <v>325</v>
      </c>
      <c r="B88" s="319">
        <v>2</v>
      </c>
      <c r="C88" s="319">
        <v>2</v>
      </c>
      <c r="D88" s="317">
        <f t="shared" si="3"/>
        <v>44370</v>
      </c>
    </row>
    <row r="89" spans="1:4" x14ac:dyDescent="0.3">
      <c r="A89" s="302" t="s">
        <v>326</v>
      </c>
      <c r="B89" s="319">
        <v>2</v>
      </c>
      <c r="C89" s="319">
        <v>3</v>
      </c>
      <c r="D89" s="317">
        <f t="shared" si="3"/>
        <v>52780</v>
      </c>
    </row>
    <row r="90" spans="1:4" x14ac:dyDescent="0.3">
      <c r="A90" s="302" t="s">
        <v>327</v>
      </c>
      <c r="B90" s="319">
        <v>2</v>
      </c>
      <c r="C90" s="319">
        <v>4</v>
      </c>
      <c r="D90" s="317">
        <f t="shared" si="3"/>
        <v>61190</v>
      </c>
    </row>
    <row r="91" spans="1:4" x14ac:dyDescent="0.3">
      <c r="A91" s="302" t="s">
        <v>328</v>
      </c>
      <c r="B91" s="319">
        <v>2</v>
      </c>
      <c r="C91" s="319">
        <v>5</v>
      </c>
      <c r="D91" s="317">
        <f t="shared" si="3"/>
        <v>69600</v>
      </c>
    </row>
    <row r="92" spans="1:4" x14ac:dyDescent="0.3">
      <c r="A92" s="302" t="s">
        <v>329</v>
      </c>
      <c r="B92" s="320">
        <v>2</v>
      </c>
      <c r="C92" s="320">
        <v>6</v>
      </c>
      <c r="D92" s="317">
        <f t="shared" si="3"/>
        <v>78010</v>
      </c>
    </row>
    <row r="93" spans="1:4" x14ac:dyDescent="0.3">
      <c r="A93" s="302"/>
      <c r="B93" s="320"/>
      <c r="C93" s="320"/>
      <c r="D93" s="317"/>
    </row>
    <row r="94" spans="1:4" x14ac:dyDescent="0.3">
      <c r="A94" s="302"/>
      <c r="B94" s="319"/>
      <c r="C94" s="319"/>
      <c r="D94" s="317"/>
    </row>
    <row r="95" spans="1:4" x14ac:dyDescent="0.3">
      <c r="A95" s="302"/>
      <c r="B95" s="320"/>
      <c r="C95" s="320"/>
      <c r="D95" s="317"/>
    </row>
    <row r="96" spans="1:4" x14ac:dyDescent="0.3">
      <c r="A96" s="306"/>
      <c r="B96" s="319"/>
      <c r="C96" s="319"/>
      <c r="D96" s="318"/>
    </row>
  </sheetData>
  <mergeCells count="4">
    <mergeCell ref="A1:D1"/>
    <mergeCell ref="A26:D26"/>
    <mergeCell ref="A50:D50"/>
    <mergeCell ref="A75:D75"/>
  </mergeCells>
  <pageMargins left="0.7" right="0.7" top="0.75" bottom="0.75" header="0.3" footer="0.3"/>
  <pageSetup paperSize="9" scale="78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5</vt:i4>
      </vt:variant>
    </vt:vector>
  </HeadingPairs>
  <TitlesOfParts>
    <vt:vector size="15" baseType="lpstr">
      <vt:lpstr>Presupuesto Final</vt:lpstr>
      <vt:lpstr>RESUMEN</vt:lpstr>
      <vt:lpstr>Presupuesto Final Veredas</vt:lpstr>
      <vt:lpstr>Memorias Cantidades</vt:lpstr>
      <vt:lpstr>Memorias Cantidades Veredas</vt:lpstr>
      <vt:lpstr>Item de Pago</vt:lpstr>
      <vt:lpstr>EQUIPO Y TRANSP.</vt:lpstr>
      <vt:lpstr>A.P.U. OBRA</vt:lpstr>
      <vt:lpstr>Analisis AIU</vt:lpstr>
      <vt:lpstr>Factor Prestacional</vt:lpstr>
      <vt:lpstr>'A.P.U. OBRA'!Área_de_impresión</vt:lpstr>
      <vt:lpstr>'Analisis AIU'!Área_de_impresión</vt:lpstr>
      <vt:lpstr>'Factor Prestacional'!Área_de_impresión</vt:lpstr>
      <vt:lpstr>'Presupuesto Final'!Área_de_impresión</vt:lpstr>
      <vt:lpstr>'Presupuesto Final Veredas'!Área_de_impresión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Acosta Boma Inpasa</dc:creator>
  <cp:lastModifiedBy>Usuario</cp:lastModifiedBy>
  <cp:lastPrinted>2023-08-08T21:52:42Z</cp:lastPrinted>
  <dcterms:created xsi:type="dcterms:W3CDTF">2016-03-02T21:08:12Z</dcterms:created>
  <dcterms:modified xsi:type="dcterms:W3CDTF">2023-08-08T21:55:09Z</dcterms:modified>
</cp:coreProperties>
</file>