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NTRATACIÓN\Desktop\CONTRATOS 2023\PLANEACIÓN\MC\baños union\"/>
    </mc:Choice>
  </mc:AlternateContent>
  <xr:revisionPtr revIDLastSave="0" documentId="13_ncr:1_{08210002-3185-48F6-8CB2-6A4A82E7C7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RESUPUESTO" sheetId="15" r:id="rId1"/>
    <sheet name="Hoja1" sheetId="16" r:id="rId2"/>
    <sheet name="AIU " sheetId="9" r:id="rId3"/>
    <sheet name="APA" sheetId="6" state="hidden" r:id="rId4"/>
  </sheets>
  <externalReferences>
    <externalReference r:id="rId5"/>
  </externalReferences>
  <definedNames>
    <definedName name="_xlnm.Print_Area" localSheetId="2">'AIU '!$A$1:$J$49</definedName>
    <definedName name="_xlnm.Print_Area" localSheetId="3">APA!$A$1:$I$48</definedName>
    <definedName name="_xlnm.Print_Area" localSheetId="0">PRESUPUESTO!$A$1:$H$45</definedName>
    <definedName name="_xlnm.Print_Titles" localSheetId="0">PRESUPUESTO!$1:$7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5" l="1"/>
  <c r="E33" i="15" l="1"/>
  <c r="E34" i="15"/>
  <c r="E35" i="15"/>
  <c r="G35" i="15" s="1"/>
  <c r="H35" i="15" s="1"/>
  <c r="E36" i="15"/>
  <c r="G36" i="15" s="1"/>
  <c r="H36" i="15" s="1"/>
  <c r="E32" i="15"/>
  <c r="G32" i="15" s="1"/>
  <c r="E30" i="15"/>
  <c r="E21" i="15"/>
  <c r="G21" i="15" s="1"/>
  <c r="H21" i="15" s="1"/>
  <c r="E22" i="15"/>
  <c r="G22" i="15" s="1"/>
  <c r="H22" i="15" s="1"/>
  <c r="E23" i="15"/>
  <c r="E24" i="15"/>
  <c r="E25" i="15"/>
  <c r="G25" i="15" s="1"/>
  <c r="H25" i="15" s="1"/>
  <c r="E26" i="15"/>
  <c r="G26" i="15" s="1"/>
  <c r="H26" i="15" s="1"/>
  <c r="E27" i="15"/>
  <c r="G27" i="15" s="1"/>
  <c r="H27" i="15" s="1"/>
  <c r="E28" i="15"/>
  <c r="G28" i="15" s="1"/>
  <c r="H28" i="15" s="1"/>
  <c r="E29" i="15"/>
  <c r="G29" i="15" s="1"/>
  <c r="H29" i="15" s="1"/>
  <c r="E20" i="15"/>
  <c r="G20" i="15" s="1"/>
  <c r="H20" i="15" s="1"/>
  <c r="E19" i="15"/>
  <c r="G19" i="15" s="1"/>
  <c r="H19" i="15" s="1"/>
  <c r="E18" i="15"/>
  <c r="G18" i="15" s="1"/>
  <c r="H18" i="15" s="1"/>
  <c r="E17" i="15"/>
  <c r="G17" i="15" s="1"/>
  <c r="H17" i="15" s="1"/>
  <c r="E16" i="15"/>
  <c r="G16" i="15" s="1"/>
  <c r="H16" i="15" s="1"/>
  <c r="G15" i="15"/>
  <c r="H15" i="15" s="1"/>
  <c r="E13" i="15"/>
  <c r="G13" i="15"/>
  <c r="H13" i="15" s="1"/>
  <c r="E11" i="15"/>
  <c r="G11" i="15" s="1"/>
  <c r="E10" i="15"/>
  <c r="G23" i="15"/>
  <c r="H23" i="15" s="1"/>
  <c r="G24" i="15"/>
  <c r="H24" i="15" s="1"/>
  <c r="G30" i="15"/>
  <c r="H30" i="15" s="1"/>
  <c r="G33" i="15"/>
  <c r="H33" i="15" s="1"/>
  <c r="G34" i="15"/>
  <c r="H34" i="15" s="1"/>
  <c r="G10" i="15"/>
  <c r="D32" i="15"/>
  <c r="D10" i="15"/>
  <c r="D11" i="15"/>
  <c r="C11" i="15"/>
  <c r="H10" i="15" l="1"/>
  <c r="H32" i="15"/>
  <c r="H11" i="15"/>
  <c r="A5" i="9"/>
  <c r="I13" i="9" l="1"/>
  <c r="A35" i="6"/>
  <c r="I20" i="9"/>
  <c r="D42" i="9"/>
  <c r="D43" i="9"/>
  <c r="I23" i="9"/>
  <c r="G29" i="6"/>
  <c r="I29" i="6" s="1"/>
  <c r="I32" i="6" s="1"/>
  <c r="A29" i="6"/>
  <c r="I22" i="6"/>
  <c r="G21" i="6"/>
  <c r="I21" i="6" s="1"/>
  <c r="G20" i="6"/>
  <c r="I20" i="6" s="1"/>
  <c r="H14" i="6"/>
  <c r="I14" i="6" s="1"/>
  <c r="H13" i="6"/>
  <c r="I13" i="6" s="1"/>
  <c r="F35" i="6" l="1"/>
  <c r="I35" i="6" s="1"/>
  <c r="I38" i="6" s="1"/>
  <c r="I12" i="6" s="1"/>
  <c r="I17" i="6" s="1"/>
  <c r="I26" i="6"/>
  <c r="I40" i="6" l="1"/>
  <c r="I45" i="6" s="1"/>
  <c r="I43" i="6" l="1"/>
  <c r="I44" i="6"/>
  <c r="L40" i="6"/>
  <c r="I46" i="6" l="1"/>
  <c r="I48" i="6" s="1"/>
  <c r="H38" i="15" l="1"/>
  <c r="J8" i="9" l="1"/>
  <c r="I33" i="9" s="1"/>
  <c r="I18" i="9"/>
  <c r="I26" i="9"/>
  <c r="I11" i="9"/>
  <c r="I29" i="9"/>
  <c r="J11" i="9" l="1"/>
  <c r="J23" i="9"/>
  <c r="J29" i="9"/>
  <c r="J20" i="9"/>
  <c r="J13" i="9"/>
  <c r="J26" i="9"/>
  <c r="J18" i="9"/>
  <c r="I34" i="9"/>
  <c r="I32" i="9" s="1"/>
  <c r="J32" i="9" s="1"/>
  <c r="J36" i="9" l="1"/>
  <c r="H39" i="15" s="1"/>
  <c r="D41" i="9" l="1"/>
  <c r="J39" i="9"/>
</calcChain>
</file>

<file path=xl/sharedStrings.xml><?xml version="1.0" encoding="utf-8"?>
<sst xmlns="http://schemas.openxmlformats.org/spreadsheetml/2006/main" count="194" uniqueCount="155">
  <si>
    <t>DEPARTAMENTO DE ANTIOQUIA</t>
  </si>
  <si>
    <t>MUNICIPIO DE CAUCASIA</t>
  </si>
  <si>
    <t>ITEM</t>
  </si>
  <si>
    <t>DESCRIPCION</t>
  </si>
  <si>
    <t>CANT.</t>
  </si>
  <si>
    <t>TOTAL COSTO DIRECTO</t>
  </si>
  <si>
    <t xml:space="preserve"> </t>
  </si>
  <si>
    <t xml:space="preserve">DEPARTAMENTO DE ANTIOQUIA                                                                                                              MUNICIPIO DE CAUCASIA          </t>
  </si>
  <si>
    <t>ANALISIS DE PRECIOS UNITARIOS</t>
  </si>
  <si>
    <t xml:space="preserve">OBJETO :  </t>
  </si>
  <si>
    <t xml:space="preserve">                     </t>
  </si>
  <si>
    <t>ITEM:</t>
  </si>
  <si>
    <t>UNIDAD:</t>
  </si>
  <si>
    <t>I. EQUIPO</t>
  </si>
  <si>
    <t>DESCRIPCIÓN</t>
  </si>
  <si>
    <t>CANT</t>
  </si>
  <si>
    <t>Vr. / DIA</t>
  </si>
  <si>
    <t>REND.</t>
  </si>
  <si>
    <t>V-UNIT.</t>
  </si>
  <si>
    <t>SUB-TOTAL</t>
  </si>
  <si>
    <t>II. MATERIALES EN OBRA</t>
  </si>
  <si>
    <t>UN.</t>
  </si>
  <si>
    <t>P-UNIT.</t>
  </si>
  <si>
    <t>MATERIAL</t>
  </si>
  <si>
    <t>Vol (M3)</t>
  </si>
  <si>
    <t>DIST.</t>
  </si>
  <si>
    <t>TARIFA</t>
  </si>
  <si>
    <t>IV. MANO DE OBRA</t>
  </si>
  <si>
    <t>PERSONAL</t>
  </si>
  <si>
    <t>JORNAL MAS PRESTAC.</t>
  </si>
  <si>
    <t>V. COSTOS INDIRECTOS</t>
  </si>
  <si>
    <t>%</t>
  </si>
  <si>
    <t>V-TOTAL</t>
  </si>
  <si>
    <t>Administración</t>
  </si>
  <si>
    <t>Utilidad</t>
  </si>
  <si>
    <t>Imprevistos</t>
  </si>
  <si>
    <t>TOTAL</t>
  </si>
  <si>
    <t>M3</t>
  </si>
  <si>
    <t>APA PREPARACION MORTERO 1:4</t>
  </si>
  <si>
    <t>Hta menor</t>
  </si>
  <si>
    <t>Concretadora</t>
  </si>
  <si>
    <t>Coche</t>
  </si>
  <si>
    <t>Cemento gris</t>
  </si>
  <si>
    <t>Saco</t>
  </si>
  <si>
    <t>Arena</t>
  </si>
  <si>
    <t>Agua</t>
  </si>
  <si>
    <t>Lt</t>
  </si>
  <si>
    <t>III. TRANSPORTES EN OBRA</t>
  </si>
  <si>
    <t>(M3-KM)/TON</t>
  </si>
  <si>
    <t>UTILIDAD</t>
  </si>
  <si>
    <t>IMPREVISTOS</t>
  </si>
  <si>
    <t>ADMINISTRACION</t>
  </si>
  <si>
    <t>TOTAL ADMINISTRACION, IMPREVISTOS Y UTILIDAD :</t>
  </si>
  <si>
    <t>UTILIDAD DEL CONTRATISTA</t>
  </si>
  <si>
    <t>SUBTOTAL ADMINISTRACION</t>
  </si>
  <si>
    <t>IMPUESTO DE SEGURIDAD</t>
  </si>
  <si>
    <t>IMPUESTOS, CONTRIBUCIONES Y TRANSFERENCIAS</t>
  </si>
  <si>
    <t>Poliza Unica de cumplimiento</t>
  </si>
  <si>
    <t>GARANTIAS Y SEGUROS</t>
  </si>
  <si>
    <t>Seguridad industrial</t>
  </si>
  <si>
    <t>SEGURIDAD INDUSTRIAL Y TIEMPO DE INACTIVIDAD</t>
  </si>
  <si>
    <t>Vehiculo</t>
  </si>
  <si>
    <t>Campamento</t>
  </si>
  <si>
    <t>MOVILIZACION E INSTALACIONES PROVISIONALES</t>
  </si>
  <si>
    <t>Celador</t>
  </si>
  <si>
    <t>SERVICIOS GENERALES, VIGILANCIA, CONSERVACION Y MANTENIMIENTO</t>
  </si>
  <si>
    <t>Transporte</t>
  </si>
  <si>
    <t>TRANSPORTE DE PERSONAL Y EQUIPOS EN GENERAL</t>
  </si>
  <si>
    <t>Secretaria</t>
  </si>
  <si>
    <t>PERSONAL DE DIRECCION Y ADMINISTRACION</t>
  </si>
  <si>
    <t>Informes, papelería, fotografías</t>
  </si>
  <si>
    <t>GASTOS GENERALES DE LA FIRMA</t>
  </si>
  <si>
    <t>SALARIO</t>
  </si>
  <si>
    <t>(Meses)</t>
  </si>
  <si>
    <t>P.S.</t>
  </si>
  <si>
    <t>TIEMPO</t>
  </si>
  <si>
    <t>No</t>
  </si>
  <si>
    <t>VALOR COSTO DIRECTO :</t>
  </si>
  <si>
    <t xml:space="preserve"> MANTENIMIENTO Y ADECUACION DE LA PLANTA FISICA DE VARIAS INSTITUCIONES EDUCATIVAS Y DEL PALACIO MUNICIPAL, UBICADAS EN LA ZONA URBANA DEL MUNICIPIO DE CAUCASIA ANTIOQUIA DEPARTAMENTO DE ANTIOQUIA.</t>
  </si>
  <si>
    <t>Tecnologo residente</t>
  </si>
  <si>
    <t>A.I.U.</t>
  </si>
  <si>
    <t>SECRETARIA DE PLANEACION Y OBRAS PUBLICAS</t>
  </si>
  <si>
    <t xml:space="preserve">MUNICIPIO DE CAUCASIA </t>
  </si>
  <si>
    <t>PRESUPUESTO DE OBRA A TODO COSTO</t>
  </si>
  <si>
    <t>UND</t>
  </si>
  <si>
    <t>V. UNT</t>
  </si>
  <si>
    <t>VR. TOTAL</t>
  </si>
  <si>
    <t>1.1</t>
  </si>
  <si>
    <t>TOTAL COSTOS DIRECTOS</t>
  </si>
  <si>
    <t>DISCRIMINACION DEL A.I.U OFICIAL</t>
  </si>
  <si>
    <t>1.2</t>
  </si>
  <si>
    <t>2.1</t>
  </si>
  <si>
    <t>I.E. DIVINO NIÑO -SEDE CARACOLI</t>
  </si>
  <si>
    <t>m3</t>
  </si>
  <si>
    <t xml:space="preserve">CONCRETO </t>
  </si>
  <si>
    <t>Und</t>
  </si>
  <si>
    <t>Ingeniero Residente</t>
  </si>
  <si>
    <t>Estampilla adulto mayor</t>
  </si>
  <si>
    <t>Tasa pro deporte</t>
  </si>
  <si>
    <t xml:space="preserve">Suministro de material petreo tipo arenon para elaboracion de bloque en cemento </t>
  </si>
  <si>
    <t xml:space="preserve">Suministro de material petreo Mixto (balastro) para vaciado de concretos </t>
  </si>
  <si>
    <t xml:space="preserve">Bultos </t>
  </si>
  <si>
    <t xml:space="preserve">Suministro de cemento para concretos, bloques y todo lo necesario para la realisacion de las obras </t>
  </si>
  <si>
    <t>und</t>
  </si>
  <si>
    <t>3.1</t>
  </si>
  <si>
    <t>3.2</t>
  </si>
  <si>
    <t>Suministro de tuberia de agua presion 1/2"</t>
  </si>
  <si>
    <t>3.3</t>
  </si>
  <si>
    <t>Suministro de tuberia sanitaria de 3"</t>
  </si>
  <si>
    <t>3.4</t>
  </si>
  <si>
    <t>Suministro de codos de 3"</t>
  </si>
  <si>
    <t>3.5</t>
  </si>
  <si>
    <t>Suministro de union de 3"</t>
  </si>
  <si>
    <t>Suministro de tee de 1/2"</t>
  </si>
  <si>
    <t>Suministro de codos de 1/2"</t>
  </si>
  <si>
    <t>Suministro de macho pata tuberia de agua potable 1/2"</t>
  </si>
  <si>
    <t xml:space="preserve">Suministro de llave de paso en cobre para duchas </t>
  </si>
  <si>
    <t>Suministro de union de 1/2"</t>
  </si>
  <si>
    <t>3.6</t>
  </si>
  <si>
    <t>3.7</t>
  </si>
  <si>
    <t>3.8</t>
  </si>
  <si>
    <t>3.9</t>
  </si>
  <si>
    <t>3.10</t>
  </si>
  <si>
    <t>Suministro de codos de 2"</t>
  </si>
  <si>
    <t>Suministro de rejillas de 2"</t>
  </si>
  <si>
    <t>Suministro de tuberia de 1 y 1/2"</t>
  </si>
  <si>
    <t xml:space="preserve">Suministro de manguera para lavamanos </t>
  </si>
  <si>
    <t>Suministro de manguera para sanitarios</t>
  </si>
  <si>
    <t>3.11</t>
  </si>
  <si>
    <t>3.12</t>
  </si>
  <si>
    <t>3.13</t>
  </si>
  <si>
    <t>3.14</t>
  </si>
  <si>
    <t>3.15</t>
  </si>
  <si>
    <t>3.16</t>
  </si>
  <si>
    <t>Suministro de caja de clavos para cinte 2"</t>
  </si>
  <si>
    <t>Suministro de caja de clavos de 3"</t>
  </si>
  <si>
    <t>Suministro de caja de clavos de 5"</t>
  </si>
  <si>
    <t xml:space="preserve">Techos </t>
  </si>
  <si>
    <t>Suministro de teja en eterni</t>
  </si>
  <si>
    <t>4.1</t>
  </si>
  <si>
    <t>4.2</t>
  </si>
  <si>
    <t>4.3</t>
  </si>
  <si>
    <t>4.4</t>
  </si>
  <si>
    <t>4.5</t>
  </si>
  <si>
    <t>Suministro de teja Zinc Ondulada 3.048x0.80mt Modelo Ondulada</t>
  </si>
  <si>
    <t>Suministro de pega pvc 1/4 de galon</t>
  </si>
  <si>
    <t>Combos sanitario  Blanco: sanitario, lavamanos sin pedestal, grifería y accesorios</t>
  </si>
  <si>
    <t>IVA</t>
  </si>
  <si>
    <t xml:space="preserve">V. CON IVA </t>
  </si>
  <si>
    <t xml:space="preserve">VALOR TOTAL </t>
  </si>
  <si>
    <t xml:space="preserve">Tecnico operativo de obras publicas </t>
  </si>
  <si>
    <t>OSCAR WILLIAN SANTANA MAZO</t>
  </si>
  <si>
    <t>OBJETO: SUMINISTRO DE MATERIALES PARA EL MEJORAMIENTO DE VIVIENDAS MEDIANTE LA CONSTRUCCION DE BAÑOS EN LA VEREDA LA UNION DEL MUNICIPIO DE CAUCASIA.</t>
  </si>
  <si>
    <t>SUMINISTRO DE APARATOS Y ACCESORIOS SANITARIOS</t>
  </si>
  <si>
    <t>SUMINISTRO DE MATERIALES PETREOS Y CEMENTO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</si>
</sst>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\ &quot;€&quot;_-;\-* #,##0\ &quot;€&quot;_-;_-* &quot;-&quot;\ &quot;€&quot;_-;_-@_-"/>
    <numFmt numFmtId="167" formatCode="_-* #,##0.00\ &quot;€&quot;_-;\-* #,##0.00\ &quot;€&quot;_-;_-* &quot;-&quot;??\ &quot;€&quot;_-;_-@_-"/>
    <numFmt numFmtId="168" formatCode="_(* #,##0_);_(* \(#,##0\);_(* &quot;-&quot;_);_(@_)"/>
    <numFmt numFmtId="169" formatCode="_(* #,##0.00_);_(* \(#,##0.00\);_(* &quot;-&quot;??_);_(@_)"/>
    <numFmt numFmtId="170" formatCode="_(&quot;$&quot;\ * #,##0_);_(&quot;$&quot;\ * \(#,##0\);_(&quot;$&quot;\ * &quot;-&quot;_);_(@_)"/>
    <numFmt numFmtId="171" formatCode="_(&quot;$&quot;\ * #,##0.00_);_(&quot;$&quot;\ * \(#,##0.00\);_(&quot;$&quot;\ * &quot;-&quot;??_);_(@_)"/>
    <numFmt numFmtId="172" formatCode="[$$-240A]\ #,##0.00"/>
    <numFmt numFmtId="173" formatCode="_ [$€-2]\ * #,##0.00_ ;_ [$€-2]\ * \-#,##0.00_ ;_ [$€-2]\ * &quot;-&quot;??_ "/>
    <numFmt numFmtId="174" formatCode="_ * #,##0.00_ ;_ * \-#,##0.00_ ;_ * &quot;-&quot;??_ ;_ @_ "/>
    <numFmt numFmtId="175" formatCode="_-* #,##0.00\ _€_-;\-* #,##0.00\ _€_-;_-* &quot;-&quot;??\ _€_-;_-@_-"/>
    <numFmt numFmtId="176" formatCode="_ &quot;$&quot;\ * #,##0.00_ ;_ &quot;$&quot;\ * \-#,##0.00_ ;_ &quot;$&quot;\ * &quot;-&quot;??_ ;_ @_ "/>
    <numFmt numFmtId="177" formatCode="_ * #,##0_ ;_ * \-#,##0_ ;_ * &quot;-&quot;??_ ;_ @_ "/>
    <numFmt numFmtId="178" formatCode="_ * #,##0.0_ ;_ * \-#,##0.0_ ;_ * &quot;-&quot;??_ ;_ @_ "/>
    <numFmt numFmtId="179" formatCode="#,##0.0"/>
    <numFmt numFmtId="180" formatCode="0.0%"/>
    <numFmt numFmtId="181" formatCode="\$\ #,##0"/>
    <numFmt numFmtId="182" formatCode="[$$-2C0A]\ #,##0"/>
    <numFmt numFmtId="183" formatCode="&quot;$&quot;#,##0;[Red]&quot;$&quot;#,##0"/>
    <numFmt numFmtId="184" formatCode="[$$-2C0A]#,##0.00"/>
    <numFmt numFmtId="185" formatCode="0.000%"/>
    <numFmt numFmtId="186" formatCode="\$#,##0;[Red]\(\$#,##0\)"/>
    <numFmt numFmtId="187" formatCode="_-* #,##0.0\ _€_-;\-* #,##0.0\ _€_-;_-* &quot;-&quot;??\ _€_-;_-@_-"/>
    <numFmt numFmtId="188" formatCode="_-* #,##0.0_-;\-* #,##0.0_-;_-* &quot;-&quot;?_-;_-@_-"/>
    <numFmt numFmtId="189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rgb="FF000000"/>
      <name val="Arial"/>
      <family val="2"/>
    </font>
    <font>
      <sz val="11"/>
      <name val="Tahoma"/>
      <family val="2"/>
    </font>
    <font>
      <b/>
      <sz val="1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4">
    <xf numFmtId="0" fontId="0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0" fillId="0" borderId="0"/>
    <xf numFmtId="175" fontId="10" fillId="0" borderId="0" applyFont="0" applyFill="0" applyBorder="0" applyAlignment="0" applyProtection="0"/>
    <xf numFmtId="172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2">
    <xf numFmtId="0" fontId="0" fillId="0" borderId="0" xfId="0"/>
    <xf numFmtId="0" fontId="4" fillId="3" borderId="6" xfId="0" applyFont="1" applyFill="1" applyBorder="1"/>
    <xf numFmtId="0" fontId="4" fillId="3" borderId="0" xfId="0" applyFont="1" applyFill="1"/>
    <xf numFmtId="174" fontId="4" fillId="2" borderId="7" xfId="0" applyNumberFormat="1" applyFont="1" applyFill="1" applyBorder="1"/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right"/>
    </xf>
    <xf numFmtId="174" fontId="4" fillId="2" borderId="7" xfId="0" applyNumberFormat="1" applyFont="1" applyFill="1" applyBorder="1" applyAlignment="1">
      <alignment horizontal="right"/>
    </xf>
    <xf numFmtId="0" fontId="4" fillId="3" borderId="8" xfId="0" applyFont="1" applyFill="1" applyBorder="1"/>
    <xf numFmtId="0" fontId="4" fillId="3" borderId="9" xfId="0" applyFont="1" applyFill="1" applyBorder="1"/>
    <xf numFmtId="174" fontId="4" fillId="3" borderId="10" xfId="0" applyNumberFormat="1" applyFont="1" applyFill="1" applyBorder="1"/>
    <xf numFmtId="0" fontId="4" fillId="3" borderId="16" xfId="0" applyFont="1" applyFill="1" applyBorder="1" applyAlignment="1">
      <alignment horizontal="center"/>
    </xf>
    <xf numFmtId="174" fontId="4" fillId="3" borderId="17" xfId="0" applyNumberFormat="1" applyFont="1" applyFill="1" applyBorder="1" applyAlignment="1">
      <alignment horizontal="center"/>
    </xf>
    <xf numFmtId="174" fontId="4" fillId="3" borderId="20" xfId="0" applyNumberFormat="1" applyFont="1" applyFill="1" applyBorder="1" applyAlignment="1">
      <alignment horizontal="center"/>
    </xf>
    <xf numFmtId="174" fontId="4" fillId="3" borderId="20" xfId="18" applyNumberFormat="1" applyFont="1" applyFill="1" applyBorder="1"/>
    <xf numFmtId="177" fontId="4" fillId="3" borderId="21" xfId="18" applyNumberFormat="1" applyFont="1" applyFill="1" applyBorder="1" applyAlignment="1">
      <alignment horizontal="center"/>
    </xf>
    <xf numFmtId="4" fontId="4" fillId="3" borderId="20" xfId="18" applyNumberFormat="1" applyFont="1" applyFill="1" applyBorder="1" applyAlignment="1">
      <alignment horizontal="center"/>
    </xf>
    <xf numFmtId="174" fontId="5" fillId="3" borderId="20" xfId="0" applyNumberFormat="1" applyFont="1" applyFill="1" applyBorder="1" applyAlignment="1">
      <alignment horizontal="center"/>
    </xf>
    <xf numFmtId="174" fontId="5" fillId="3" borderId="20" xfId="18" applyNumberFormat="1" applyFont="1" applyFill="1" applyBorder="1"/>
    <xf numFmtId="4" fontId="5" fillId="3" borderId="20" xfId="18" applyNumberFormat="1" applyFont="1" applyFill="1" applyBorder="1" applyAlignment="1">
      <alignment horizontal="center"/>
    </xf>
    <xf numFmtId="177" fontId="5" fillId="3" borderId="21" xfId="18" applyNumberFormat="1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178" fontId="4" fillId="3" borderId="32" xfId="18" applyNumberFormat="1" applyFont="1" applyFill="1" applyBorder="1"/>
    <xf numFmtId="174" fontId="4" fillId="3" borderId="10" xfId="18" applyNumberFormat="1" applyFont="1" applyFill="1" applyBorder="1" applyAlignment="1">
      <alignment horizontal="center"/>
    </xf>
    <xf numFmtId="178" fontId="4" fillId="3" borderId="0" xfId="0" applyNumberFormat="1" applyFont="1" applyFill="1"/>
    <xf numFmtId="178" fontId="4" fillId="2" borderId="0" xfId="0" applyNumberFormat="1" applyFont="1" applyFill="1" applyAlignment="1">
      <alignment horizontal="right"/>
    </xf>
    <xf numFmtId="174" fontId="4" fillId="2" borderId="22" xfId="0" applyNumberFormat="1" applyFont="1" applyFill="1" applyBorder="1" applyAlignment="1">
      <alignment horizontal="center"/>
    </xf>
    <xf numFmtId="178" fontId="4" fillId="3" borderId="16" xfId="0" applyNumberFormat="1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174" fontId="4" fillId="3" borderId="21" xfId="18" applyNumberFormat="1" applyFont="1" applyFill="1" applyBorder="1"/>
    <xf numFmtId="174" fontId="4" fillId="3" borderId="33" xfId="18" applyNumberFormat="1" applyFont="1" applyFill="1" applyBorder="1"/>
    <xf numFmtId="0" fontId="4" fillId="3" borderId="33" xfId="0" applyFont="1" applyFill="1" applyBorder="1" applyAlignment="1">
      <alignment horizontal="center"/>
    </xf>
    <xf numFmtId="174" fontId="4" fillId="3" borderId="34" xfId="18" applyNumberFormat="1" applyFont="1" applyFill="1" applyBorder="1"/>
    <xf numFmtId="0" fontId="4" fillId="3" borderId="26" xfId="0" applyFont="1" applyFill="1" applyBorder="1" applyAlignment="1">
      <alignment horizontal="center"/>
    </xf>
    <xf numFmtId="174" fontId="4" fillId="3" borderId="26" xfId="18" applyNumberFormat="1" applyFont="1" applyFill="1" applyBorder="1"/>
    <xf numFmtId="174" fontId="4" fillId="3" borderId="27" xfId="18" applyNumberFormat="1" applyFont="1" applyFill="1" applyBorder="1"/>
    <xf numFmtId="174" fontId="4" fillId="2" borderId="23" xfId="0" applyNumberFormat="1" applyFont="1" applyFill="1" applyBorder="1" applyAlignment="1">
      <alignment horizontal="right"/>
    </xf>
    <xf numFmtId="0" fontId="4" fillId="3" borderId="16" xfId="0" applyFont="1" applyFill="1" applyBorder="1" applyAlignment="1">
      <alignment horizontal="centerContinuous"/>
    </xf>
    <xf numFmtId="1" fontId="6" fillId="0" borderId="1" xfId="29" applyNumberFormat="1" applyFont="1" applyBorder="1" applyAlignment="1">
      <alignment horizontal="center"/>
    </xf>
    <xf numFmtId="179" fontId="6" fillId="0" borderId="1" xfId="29" applyNumberFormat="1" applyFont="1" applyBorder="1" applyAlignment="1">
      <alignment horizontal="center"/>
    </xf>
    <xf numFmtId="4" fontId="6" fillId="0" borderId="1" xfId="29" applyNumberFormat="1" applyFont="1" applyBorder="1" applyAlignment="1">
      <alignment horizontal="center"/>
    </xf>
    <xf numFmtId="174" fontId="5" fillId="3" borderId="35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/>
    </xf>
    <xf numFmtId="43" fontId="4" fillId="3" borderId="26" xfId="18" applyFont="1" applyFill="1" applyBorder="1"/>
    <xf numFmtId="174" fontId="4" fillId="2" borderId="22" xfId="0" applyNumberFormat="1" applyFont="1" applyFill="1" applyBorder="1" applyAlignment="1">
      <alignment horizontal="right"/>
    </xf>
    <xf numFmtId="0" fontId="4" fillId="3" borderId="15" xfId="0" applyFont="1" applyFill="1" applyBorder="1" applyAlignment="1">
      <alignment horizontal="center"/>
    </xf>
    <xf numFmtId="174" fontId="4" fillId="3" borderId="29" xfId="0" applyNumberFormat="1" applyFont="1" applyFill="1" applyBorder="1" applyAlignment="1">
      <alignment horizontal="center"/>
    </xf>
    <xf numFmtId="174" fontId="5" fillId="3" borderId="21" xfId="18" applyNumberFormat="1" applyFont="1" applyFill="1" applyBorder="1"/>
    <xf numFmtId="174" fontId="4" fillId="3" borderId="32" xfId="18" applyNumberFormat="1" applyFont="1" applyFill="1" applyBorder="1"/>
    <xf numFmtId="174" fontId="4" fillId="3" borderId="32" xfId="0" applyNumberFormat="1" applyFont="1" applyFill="1" applyBorder="1"/>
    <xf numFmtId="174" fontId="4" fillId="2" borderId="7" xfId="0" applyNumberFormat="1" applyFont="1" applyFill="1" applyBorder="1" applyAlignment="1">
      <alignment horizontal="center"/>
    </xf>
    <xf numFmtId="178" fontId="4" fillId="2" borderId="0" xfId="0" applyNumberFormat="1" applyFont="1" applyFill="1" applyAlignment="1">
      <alignment horizontal="left"/>
    </xf>
    <xf numFmtId="178" fontId="4" fillId="2" borderId="0" xfId="0" applyNumberFormat="1" applyFont="1" applyFill="1" applyAlignment="1">
      <alignment horizontal="centerContinuous"/>
    </xf>
    <xf numFmtId="177" fontId="4" fillId="2" borderId="22" xfId="0" applyNumberFormat="1" applyFont="1" applyFill="1" applyBorder="1" applyAlignment="1">
      <alignment horizontal="right"/>
    </xf>
    <xf numFmtId="178" fontId="4" fillId="3" borderId="31" xfId="0" applyNumberFormat="1" applyFont="1" applyFill="1" applyBorder="1" applyAlignment="1">
      <alignment horizontal="center"/>
    </xf>
    <xf numFmtId="174" fontId="4" fillId="3" borderId="5" xfId="0" applyNumberFormat="1" applyFont="1" applyFill="1" applyBorder="1" applyAlignment="1">
      <alignment horizontal="center"/>
    </xf>
    <xf numFmtId="174" fontId="4" fillId="3" borderId="20" xfId="18" applyNumberFormat="1" applyFont="1" applyFill="1" applyBorder="1" applyAlignment="1">
      <alignment horizontal="center"/>
    </xf>
    <xf numFmtId="174" fontId="4" fillId="3" borderId="32" xfId="18" applyNumberFormat="1" applyFont="1" applyFill="1" applyBorder="1" applyAlignment="1">
      <alignment horizontal="center"/>
    </xf>
    <xf numFmtId="178" fontId="4" fillId="2" borderId="9" xfId="0" applyNumberFormat="1" applyFont="1" applyFill="1" applyBorder="1"/>
    <xf numFmtId="178" fontId="4" fillId="2" borderId="9" xfId="0" applyNumberFormat="1" applyFont="1" applyFill="1" applyBorder="1" applyAlignment="1">
      <alignment horizontal="left"/>
    </xf>
    <xf numFmtId="178" fontId="4" fillId="2" borderId="9" xfId="0" applyNumberFormat="1" applyFont="1" applyFill="1" applyBorder="1" applyAlignment="1">
      <alignment horizontal="centerContinuous"/>
    </xf>
    <xf numFmtId="177" fontId="0" fillId="0" borderId="0" xfId="0" applyNumberFormat="1"/>
    <xf numFmtId="182" fontId="8" fillId="0" borderId="0" xfId="12" applyNumberFormat="1" applyFont="1" applyAlignment="1">
      <alignment horizontal="left"/>
    </xf>
    <xf numFmtId="182" fontId="9" fillId="0" borderId="0" xfId="12" applyNumberFormat="1" applyFont="1" applyAlignment="1">
      <alignment horizontal="right"/>
    </xf>
    <xf numFmtId="0" fontId="8" fillId="0" borderId="0" xfId="13" applyFont="1"/>
    <xf numFmtId="0" fontId="9" fillId="0" borderId="0" xfId="12" applyFont="1"/>
    <xf numFmtId="0" fontId="8" fillId="0" borderId="0" xfId="12" applyFont="1"/>
    <xf numFmtId="0" fontId="8" fillId="0" borderId="3" xfId="12" applyFont="1" applyBorder="1"/>
    <xf numFmtId="0" fontId="9" fillId="0" borderId="47" xfId="12" applyFont="1" applyBorder="1" applyAlignment="1">
      <alignment horizontal="centerContinuous"/>
    </xf>
    <xf numFmtId="0" fontId="8" fillId="0" borderId="31" xfId="12" applyFont="1" applyBorder="1" applyAlignment="1">
      <alignment horizontal="centerContinuous"/>
    </xf>
    <xf numFmtId="0" fontId="9" fillId="0" borderId="46" xfId="12" applyFont="1" applyBorder="1" applyAlignment="1">
      <alignment horizontal="center"/>
    </xf>
    <xf numFmtId="0" fontId="9" fillId="0" borderId="45" xfId="12" applyFont="1" applyBorder="1" applyAlignment="1">
      <alignment horizontal="center"/>
    </xf>
    <xf numFmtId="0" fontId="8" fillId="0" borderId="43" xfId="12" applyFont="1" applyBorder="1"/>
    <xf numFmtId="0" fontId="8" fillId="0" borderId="38" xfId="12" applyFont="1" applyBorder="1"/>
    <xf numFmtId="0" fontId="8" fillId="0" borderId="36" xfId="12" applyFont="1" applyBorder="1"/>
    <xf numFmtId="0" fontId="8" fillId="0" borderId="40" xfId="12" applyFont="1" applyBorder="1"/>
    <xf numFmtId="0" fontId="9" fillId="0" borderId="40" xfId="12" applyFont="1" applyBorder="1" applyAlignment="1">
      <alignment horizontal="center"/>
    </xf>
    <xf numFmtId="0" fontId="8" fillId="0" borderId="44" xfId="12" applyFont="1" applyBorder="1" applyAlignment="1">
      <alignment horizontal="center"/>
    </xf>
    <xf numFmtId="0" fontId="9" fillId="0" borderId="6" xfId="12" applyFont="1" applyBorder="1"/>
    <xf numFmtId="0" fontId="8" fillId="0" borderId="1" xfId="12" applyFont="1" applyBorder="1"/>
    <xf numFmtId="186" fontId="9" fillId="0" borderId="1" xfId="12" applyNumberFormat="1" applyFont="1" applyBorder="1"/>
    <xf numFmtId="10" fontId="9" fillId="0" borderId="42" xfId="12" applyNumberFormat="1" applyFont="1" applyBorder="1" applyAlignment="1">
      <alignment horizontal="center"/>
    </xf>
    <xf numFmtId="0" fontId="8" fillId="0" borderId="30" xfId="12" applyFont="1" applyBorder="1"/>
    <xf numFmtId="0" fontId="8" fillId="0" borderId="20" xfId="12" applyFont="1" applyBorder="1" applyAlignment="1">
      <alignment wrapText="1"/>
    </xf>
    <xf numFmtId="181" fontId="8" fillId="0" borderId="1" xfId="12" applyNumberFormat="1" applyFont="1" applyBorder="1"/>
    <xf numFmtId="183" fontId="8" fillId="0" borderId="1" xfId="12" applyNumberFormat="1" applyFont="1" applyBorder="1"/>
    <xf numFmtId="3" fontId="8" fillId="0" borderId="1" xfId="12" applyNumberFormat="1" applyFont="1" applyBorder="1"/>
    <xf numFmtId="0" fontId="9" fillId="0" borderId="6" xfId="12" applyFont="1" applyBorder="1" applyAlignment="1">
      <alignment vertical="top"/>
    </xf>
    <xf numFmtId="182" fontId="9" fillId="0" borderId="1" xfId="12" applyNumberFormat="1" applyFont="1" applyBorder="1" applyAlignment="1">
      <alignment vertical="center"/>
    </xf>
    <xf numFmtId="10" fontId="9" fillId="0" borderId="42" xfId="16" applyNumberFormat="1" applyFont="1" applyBorder="1" applyAlignment="1">
      <alignment horizontal="center" vertical="center"/>
    </xf>
    <xf numFmtId="0" fontId="8" fillId="0" borderId="6" xfId="12" applyFont="1" applyBorder="1"/>
    <xf numFmtId="0" fontId="8" fillId="0" borderId="20" xfId="12" applyFont="1" applyBorder="1"/>
    <xf numFmtId="0" fontId="8" fillId="0" borderId="1" xfId="12" applyFont="1" applyBorder="1" applyAlignment="1">
      <alignment horizontal="center"/>
    </xf>
    <xf numFmtId="182" fontId="8" fillId="0" borderId="1" xfId="12" applyNumberFormat="1" applyFont="1" applyBorder="1"/>
    <xf numFmtId="0" fontId="9" fillId="0" borderId="42" xfId="12" applyFont="1" applyBorder="1" applyAlignment="1">
      <alignment horizontal="center"/>
    </xf>
    <xf numFmtId="10" fontId="9" fillId="0" borderId="42" xfId="16" applyNumberFormat="1" applyFont="1" applyBorder="1" applyAlignment="1">
      <alignment horizontal="center"/>
    </xf>
    <xf numFmtId="0" fontId="9" fillId="0" borderId="43" xfId="12" applyFont="1" applyBorder="1" applyAlignment="1">
      <alignment vertical="top"/>
    </xf>
    <xf numFmtId="182" fontId="9" fillId="0" borderId="1" xfId="12" applyNumberFormat="1" applyFont="1" applyBorder="1"/>
    <xf numFmtId="185" fontId="9" fillId="0" borderId="42" xfId="16" applyNumberFormat="1" applyFont="1" applyBorder="1" applyAlignment="1">
      <alignment horizontal="center"/>
    </xf>
    <xf numFmtId="0" fontId="9" fillId="0" borderId="1" xfId="12" applyFont="1" applyBorder="1"/>
    <xf numFmtId="184" fontId="8" fillId="0" borderId="1" xfId="12" applyNumberFormat="1" applyFont="1" applyBorder="1"/>
    <xf numFmtId="0" fontId="8" fillId="0" borderId="21" xfId="12" applyFont="1" applyBorder="1"/>
    <xf numFmtId="0" fontId="9" fillId="0" borderId="1" xfId="12" applyFont="1" applyBorder="1" applyAlignment="1">
      <alignment vertical="center"/>
    </xf>
    <xf numFmtId="0" fontId="8" fillId="0" borderId="1" xfId="12" applyFont="1" applyBorder="1" applyAlignment="1">
      <alignment vertical="center"/>
    </xf>
    <xf numFmtId="0" fontId="9" fillId="0" borderId="1" xfId="12" applyFont="1" applyBorder="1" applyAlignment="1">
      <alignment horizontal="left" vertical="center"/>
    </xf>
    <xf numFmtId="182" fontId="9" fillId="0" borderId="1" xfId="12" quotePrefix="1" applyNumberFormat="1" applyFont="1" applyBorder="1" applyAlignment="1">
      <alignment horizontal="right"/>
    </xf>
    <xf numFmtId="180" fontId="9" fillId="0" borderId="42" xfId="12" applyNumberFormat="1" applyFont="1" applyBorder="1" applyAlignment="1">
      <alignment horizontal="center"/>
    </xf>
    <xf numFmtId="0" fontId="9" fillId="0" borderId="30" xfId="12" applyFont="1" applyBorder="1" applyAlignment="1">
      <alignment vertical="center"/>
    </xf>
    <xf numFmtId="0" fontId="8" fillId="0" borderId="20" xfId="12" applyFont="1" applyBorder="1" applyAlignment="1">
      <alignment vertical="center"/>
    </xf>
    <xf numFmtId="0" fontId="9" fillId="0" borderId="39" xfId="12" applyFont="1" applyBorder="1" applyAlignment="1">
      <alignment vertical="center"/>
    </xf>
    <xf numFmtId="0" fontId="8" fillId="0" borderId="39" xfId="12" applyFont="1" applyBorder="1" applyAlignment="1">
      <alignment vertical="center"/>
    </xf>
    <xf numFmtId="0" fontId="8" fillId="0" borderId="39" xfId="12" applyFont="1" applyBorder="1"/>
    <xf numFmtId="183" fontId="8" fillId="0" borderId="39" xfId="12" applyNumberFormat="1" applyFont="1" applyBorder="1"/>
    <xf numFmtId="182" fontId="9" fillId="0" borderId="39" xfId="12" applyNumberFormat="1" applyFont="1" applyBorder="1"/>
    <xf numFmtId="10" fontId="9" fillId="0" borderId="41" xfId="16" applyNumberFormat="1" applyFont="1" applyBorder="1" applyAlignment="1">
      <alignment horizontal="center"/>
    </xf>
    <xf numFmtId="0" fontId="8" fillId="0" borderId="8" xfId="12" applyFont="1" applyBorder="1"/>
    <xf numFmtId="180" fontId="9" fillId="0" borderId="22" xfId="12" applyNumberFormat="1" applyFont="1" applyBorder="1" applyAlignment="1">
      <alignment horizontal="center"/>
    </xf>
    <xf numFmtId="181" fontId="8" fillId="0" borderId="0" xfId="12" applyNumberFormat="1" applyFont="1" applyBorder="1"/>
    <xf numFmtId="181" fontId="8" fillId="0" borderId="0" xfId="12" applyNumberFormat="1" applyFont="1" applyAlignment="1">
      <alignment horizontal="right"/>
    </xf>
    <xf numFmtId="10" fontId="8" fillId="0" borderId="0" xfId="16" applyNumberFormat="1" applyFont="1"/>
    <xf numFmtId="182" fontId="8" fillId="0" borderId="0" xfId="12" applyNumberFormat="1" applyFont="1"/>
    <xf numFmtId="180" fontId="9" fillId="0" borderId="0" xfId="12" applyNumberFormat="1" applyFont="1" applyAlignment="1">
      <alignment horizontal="center"/>
    </xf>
    <xf numFmtId="10" fontId="9" fillId="0" borderId="0" xfId="12" applyNumberFormat="1" applyFont="1" applyAlignment="1">
      <alignment horizontal="center"/>
    </xf>
    <xf numFmtId="0" fontId="11" fillId="0" borderId="0" xfId="37" applyFont="1" applyAlignment="1">
      <alignment horizontal="center"/>
    </xf>
    <xf numFmtId="0" fontId="13" fillId="0" borderId="0" xfId="37" applyFont="1"/>
    <xf numFmtId="0" fontId="2" fillId="0" borderId="0" xfId="37" applyFont="1"/>
    <xf numFmtId="0" fontId="14" fillId="0" borderId="0" xfId="37" applyFont="1"/>
    <xf numFmtId="0" fontId="11" fillId="0" borderId="0" xfId="37" applyFont="1"/>
    <xf numFmtId="0" fontId="9" fillId="0" borderId="0" xfId="37" applyFont="1"/>
    <xf numFmtId="0" fontId="14" fillId="0" borderId="1" xfId="37" applyFont="1" applyBorder="1" applyAlignment="1">
      <alignment horizontal="center"/>
    </xf>
    <xf numFmtId="0" fontId="2" fillId="0" borderId="0" xfId="37" applyFont="1" applyAlignment="1">
      <alignment wrapText="1"/>
    </xf>
    <xf numFmtId="187" fontId="2" fillId="0" borderId="0" xfId="37" applyNumberFormat="1" applyFont="1"/>
    <xf numFmtId="0" fontId="7" fillId="2" borderId="1" xfId="37" applyFont="1" applyFill="1" applyBorder="1" applyAlignment="1">
      <alignment horizontal="center" vertical="center" wrapText="1"/>
    </xf>
    <xf numFmtId="2" fontId="7" fillId="2" borderId="1" xfId="38" applyNumberFormat="1" applyFont="1" applyFill="1" applyBorder="1" applyAlignment="1">
      <alignment horizontal="center" vertical="center" wrapText="1"/>
    </xf>
    <xf numFmtId="174" fontId="7" fillId="2" borderId="1" xfId="38" applyNumberFormat="1" applyFont="1" applyFill="1" applyBorder="1" applyAlignment="1">
      <alignment horizontal="right" vertical="center" wrapText="1"/>
    </xf>
    <xf numFmtId="0" fontId="11" fillId="0" borderId="0" xfId="37" applyFont="1" applyAlignment="1">
      <alignment horizontal="left" vertical="center" wrapText="1"/>
    </xf>
    <xf numFmtId="188" fontId="11" fillId="0" borderId="0" xfId="37" applyNumberFormat="1" applyFont="1" applyAlignment="1">
      <alignment horizontal="left" vertical="center"/>
    </xf>
    <xf numFmtId="187" fontId="11" fillId="0" borderId="0" xfId="38" applyNumberFormat="1" applyFont="1" applyAlignment="1">
      <alignment horizontal="left" vertical="center" wrapText="1"/>
    </xf>
    <xf numFmtId="175" fontId="11" fillId="0" borderId="0" xfId="38" applyFont="1" applyAlignment="1">
      <alignment horizontal="left" vertical="center" wrapText="1"/>
    </xf>
    <xf numFmtId="187" fontId="2" fillId="0" borderId="0" xfId="38" applyNumberFormat="1" applyFont="1"/>
    <xf numFmtId="187" fontId="2" fillId="0" borderId="0" xfId="38" applyNumberFormat="1" applyFont="1" applyFill="1"/>
    <xf numFmtId="174" fontId="14" fillId="0" borderId="1" xfId="37" applyNumberFormat="1" applyFont="1" applyBorder="1" applyAlignment="1">
      <alignment horizontal="center"/>
    </xf>
    <xf numFmtId="175" fontId="7" fillId="2" borderId="1" xfId="38" applyFont="1" applyFill="1" applyBorder="1" applyAlignment="1">
      <alignment horizontal="right" vertical="center" wrapText="1"/>
    </xf>
    <xf numFmtId="0" fontId="8" fillId="0" borderId="0" xfId="37" applyFont="1"/>
    <xf numFmtId="177" fontId="14" fillId="2" borderId="40" xfId="37" applyNumberFormat="1" applyFont="1" applyFill="1" applyBorder="1" applyAlignment="1">
      <alignment vertical="center"/>
    </xf>
    <xf numFmtId="177" fontId="14" fillId="0" borderId="1" xfId="37" applyNumberFormat="1" applyFont="1" applyBorder="1"/>
    <xf numFmtId="0" fontId="11" fillId="0" borderId="0" xfId="37" applyFont="1" applyAlignment="1">
      <alignment horizontal="left" vertical="center" wrapText="1"/>
    </xf>
    <xf numFmtId="0" fontId="7" fillId="0" borderId="1" xfId="37" applyFont="1" applyFill="1" applyBorder="1" applyAlignment="1">
      <alignment horizontal="justify" vertical="center" wrapText="1"/>
    </xf>
    <xf numFmtId="174" fontId="7" fillId="2" borderId="40" xfId="38" applyNumberFormat="1" applyFont="1" applyFill="1" applyBorder="1" applyAlignment="1">
      <alignment horizontal="right" vertical="center" wrapText="1"/>
    </xf>
    <xf numFmtId="0" fontId="14" fillId="2" borderId="1" xfId="37" applyFont="1" applyFill="1" applyBorder="1" applyAlignment="1">
      <alignment horizontal="center" vertical="center" wrapText="1"/>
    </xf>
    <xf numFmtId="0" fontId="7" fillId="2" borderId="19" xfId="37" applyFont="1" applyFill="1" applyBorder="1" applyAlignment="1">
      <alignment horizontal="center" vertical="center" wrapText="1"/>
    </xf>
    <xf numFmtId="2" fontId="7" fillId="2" borderId="19" xfId="38" applyNumberFormat="1" applyFont="1" applyFill="1" applyBorder="1" applyAlignment="1">
      <alignment horizontal="center" vertical="center" wrapText="1"/>
    </xf>
    <xf numFmtId="0" fontId="14" fillId="0" borderId="30" xfId="37" applyFont="1" applyFill="1" applyBorder="1" applyAlignment="1">
      <alignment horizontal="justify" vertical="center" wrapText="1"/>
    </xf>
    <xf numFmtId="0" fontId="7" fillId="0" borderId="30" xfId="37" applyFont="1" applyFill="1" applyBorder="1" applyAlignment="1">
      <alignment horizontal="left" vertical="center" wrapText="1"/>
    </xf>
    <xf numFmtId="0" fontId="11" fillId="0" borderId="0" xfId="37" applyFont="1" applyAlignment="1">
      <alignment horizontal="left" vertical="center" wrapText="1"/>
    </xf>
    <xf numFmtId="0" fontId="11" fillId="2" borderId="1" xfId="37" applyFont="1" applyFill="1" applyBorder="1"/>
    <xf numFmtId="0" fontId="11" fillId="0" borderId="1" xfId="37" applyFont="1" applyBorder="1"/>
    <xf numFmtId="0" fontId="11" fillId="0" borderId="2" xfId="37" applyFont="1" applyBorder="1"/>
    <xf numFmtId="0" fontId="7" fillId="0" borderId="1" xfId="37" applyFont="1" applyFill="1" applyBorder="1" applyAlignment="1">
      <alignment horizontal="left" vertical="center" wrapText="1"/>
    </xf>
    <xf numFmtId="175" fontId="7" fillId="2" borderId="20" xfId="38" applyFont="1" applyFill="1" applyBorder="1" applyAlignment="1">
      <alignment horizontal="right" vertical="center" wrapText="1"/>
    </xf>
    <xf numFmtId="0" fontId="14" fillId="0" borderId="20" xfId="37" applyFont="1" applyBorder="1" applyAlignment="1">
      <alignment horizontal="left"/>
    </xf>
    <xf numFmtId="0" fontId="14" fillId="0" borderId="20" xfId="37" applyFont="1" applyFill="1" applyBorder="1" applyAlignment="1">
      <alignment horizontal="left" vertical="center" wrapText="1"/>
    </xf>
    <xf numFmtId="0" fontId="14" fillId="0" borderId="20" xfId="37" applyFont="1" applyBorder="1" applyAlignment="1">
      <alignment horizontal="left" vertical="center"/>
    </xf>
    <xf numFmtId="0" fontId="11" fillId="0" borderId="0" xfId="37" applyFont="1" applyAlignment="1">
      <alignment horizontal="left" vertical="center" wrapText="1"/>
    </xf>
    <xf numFmtId="175" fontId="7" fillId="2" borderId="36" xfId="38" applyFont="1" applyFill="1" applyBorder="1" applyAlignment="1">
      <alignment horizontal="right" vertical="center" wrapText="1"/>
    </xf>
    <xf numFmtId="0" fontId="14" fillId="2" borderId="36" xfId="37" applyFont="1" applyFill="1" applyBorder="1" applyAlignment="1">
      <alignment horizontal="left" vertical="center" wrapText="1"/>
    </xf>
    <xf numFmtId="9" fontId="7" fillId="2" borderId="1" xfId="43" applyFont="1" applyFill="1" applyBorder="1" applyAlignment="1">
      <alignment horizontal="right" vertical="center" wrapText="1"/>
    </xf>
    <xf numFmtId="175" fontId="14" fillId="2" borderId="36" xfId="37" applyNumberFormat="1" applyFont="1" applyFill="1" applyBorder="1" applyAlignment="1">
      <alignment horizontal="left" vertical="center" wrapText="1"/>
    </xf>
    <xf numFmtId="175" fontId="2" fillId="0" borderId="0" xfId="37" applyNumberFormat="1" applyFont="1"/>
    <xf numFmtId="189" fontId="7" fillId="2" borderId="1" xfId="38" applyNumberFormat="1" applyFont="1" applyFill="1" applyBorder="1" applyAlignment="1">
      <alignment horizontal="center" vertical="center" wrapText="1"/>
    </xf>
    <xf numFmtId="0" fontId="14" fillId="0" borderId="30" xfId="37" applyFont="1" applyBorder="1" applyAlignment="1">
      <alignment horizontal="left" vertical="center"/>
    </xf>
    <xf numFmtId="0" fontId="14" fillId="0" borderId="19" xfId="37" applyFont="1" applyBorder="1" applyAlignment="1">
      <alignment horizontal="left" vertical="center"/>
    </xf>
    <xf numFmtId="0" fontId="14" fillId="0" borderId="20" xfId="37" applyFont="1" applyBorder="1" applyAlignment="1">
      <alignment horizontal="left" vertical="center"/>
    </xf>
    <xf numFmtId="0" fontId="11" fillId="0" borderId="0" xfId="37" applyFont="1" applyAlignment="1">
      <alignment horizontal="left" vertical="center" wrapText="1"/>
    </xf>
    <xf numFmtId="0" fontId="14" fillId="2" borderId="30" xfId="37" applyFont="1" applyFill="1" applyBorder="1" applyAlignment="1">
      <alignment horizontal="left" vertical="center" wrapText="1"/>
    </xf>
    <xf numFmtId="0" fontId="14" fillId="2" borderId="19" xfId="37" applyFont="1" applyFill="1" applyBorder="1" applyAlignment="1">
      <alignment horizontal="left" vertical="center" wrapText="1"/>
    </xf>
    <xf numFmtId="0" fontId="14" fillId="2" borderId="20" xfId="37" applyFont="1" applyFill="1" applyBorder="1" applyAlignment="1">
      <alignment horizontal="left" vertical="center" wrapText="1"/>
    </xf>
    <xf numFmtId="0" fontId="14" fillId="0" borderId="30" xfId="37" applyFont="1" applyBorder="1" applyAlignment="1">
      <alignment horizontal="left"/>
    </xf>
    <xf numFmtId="0" fontId="14" fillId="0" borderId="19" xfId="37" applyFont="1" applyBorder="1" applyAlignment="1">
      <alignment horizontal="left"/>
    </xf>
    <xf numFmtId="0" fontId="14" fillId="0" borderId="20" xfId="37" applyFont="1" applyBorder="1" applyAlignment="1">
      <alignment horizontal="left"/>
    </xf>
    <xf numFmtId="0" fontId="14" fillId="0" borderId="30" xfId="37" applyFont="1" applyFill="1" applyBorder="1" applyAlignment="1">
      <alignment horizontal="left" vertical="center" wrapText="1"/>
    </xf>
    <xf numFmtId="0" fontId="14" fillId="0" borderId="19" xfId="37" applyFont="1" applyFill="1" applyBorder="1" applyAlignment="1">
      <alignment horizontal="left" vertical="center" wrapText="1"/>
    </xf>
    <xf numFmtId="0" fontId="14" fillId="0" borderId="20" xfId="37" applyFont="1" applyFill="1" applyBorder="1" applyAlignment="1">
      <alignment horizontal="left" vertical="center" wrapText="1"/>
    </xf>
    <xf numFmtId="0" fontId="8" fillId="0" borderId="2" xfId="37" applyFont="1" applyBorder="1" applyAlignment="1">
      <alignment horizontal="justify" vertical="center" wrapText="1"/>
    </xf>
    <xf numFmtId="0" fontId="12" fillId="0" borderId="0" xfId="37" applyFont="1" applyAlignment="1">
      <alignment horizontal="center" vertical="top" wrapText="1"/>
    </xf>
    <xf numFmtId="0" fontId="7" fillId="0" borderId="0" xfId="37" applyFont="1" applyAlignment="1">
      <alignment horizontal="center" vertical="center"/>
    </xf>
    <xf numFmtId="0" fontId="14" fillId="0" borderId="30" xfId="37" applyFont="1" applyBorder="1" applyAlignment="1">
      <alignment horizontal="center"/>
    </xf>
    <xf numFmtId="0" fontId="14" fillId="0" borderId="19" xfId="37" applyFont="1" applyBorder="1" applyAlignment="1">
      <alignment horizontal="center"/>
    </xf>
    <xf numFmtId="0" fontId="14" fillId="0" borderId="20" xfId="37" applyFont="1" applyBorder="1" applyAlignment="1">
      <alignment horizontal="center"/>
    </xf>
    <xf numFmtId="0" fontId="9" fillId="0" borderId="1" xfId="12" applyFont="1" applyBorder="1" applyAlignment="1">
      <alignment horizontal="justify"/>
    </xf>
    <xf numFmtId="0" fontId="8" fillId="0" borderId="1" xfId="12" applyFont="1" applyBorder="1" applyAlignment="1">
      <alignment horizontal="justify"/>
    </xf>
    <xf numFmtId="0" fontId="9" fillId="0" borderId="30" xfId="12" applyFont="1" applyBorder="1" applyAlignment="1">
      <alignment horizontal="left" vertical="justify"/>
    </xf>
    <xf numFmtId="0" fontId="9" fillId="0" borderId="19" xfId="12" applyFont="1" applyBorder="1" applyAlignment="1">
      <alignment horizontal="left" vertical="justify"/>
    </xf>
    <xf numFmtId="0" fontId="9" fillId="0" borderId="20" xfId="12" applyFont="1" applyBorder="1" applyAlignment="1">
      <alignment horizontal="left" vertical="justify"/>
    </xf>
    <xf numFmtId="0" fontId="8" fillId="0" borderId="0" xfId="12" applyFont="1" applyAlignment="1">
      <alignment horizontal="center"/>
    </xf>
    <xf numFmtId="0" fontId="8" fillId="0" borderId="0" xfId="13" applyFont="1" applyBorder="1" applyAlignment="1">
      <alignment horizontal="justify" wrapText="1"/>
    </xf>
    <xf numFmtId="0" fontId="9" fillId="0" borderId="0" xfId="12" applyFont="1" applyAlignment="1">
      <alignment horizontal="center" vertical="center"/>
    </xf>
    <xf numFmtId="0" fontId="8" fillId="0" borderId="30" xfId="12" applyFont="1" applyBorder="1" applyAlignment="1">
      <alignment horizontal="left"/>
    </xf>
    <xf numFmtId="0" fontId="8" fillId="0" borderId="20" xfId="12" applyFont="1" applyBorder="1" applyAlignment="1">
      <alignment horizontal="left"/>
    </xf>
    <xf numFmtId="0" fontId="9" fillId="0" borderId="11" xfId="12" applyFont="1" applyBorder="1" applyAlignment="1">
      <alignment horizontal="center"/>
    </xf>
    <xf numFmtId="0" fontId="9" fillId="0" borderId="12" xfId="12" applyFont="1" applyBorder="1" applyAlignment="1">
      <alignment horizontal="center"/>
    </xf>
    <xf numFmtId="0" fontId="9" fillId="0" borderId="13" xfId="12" applyFont="1" applyBorder="1" applyAlignment="1">
      <alignment horizontal="center"/>
    </xf>
    <xf numFmtId="0" fontId="8" fillId="0" borderId="30" xfId="12" applyFont="1" applyBorder="1" applyAlignment="1">
      <alignment horizontal="left" vertical="center"/>
    </xf>
    <xf numFmtId="0" fontId="8" fillId="0" borderId="20" xfId="12" applyFont="1" applyBorder="1" applyAlignment="1">
      <alignment horizontal="left" vertical="center"/>
    </xf>
    <xf numFmtId="0" fontId="9" fillId="0" borderId="1" xfId="12" applyFont="1" applyBorder="1" applyAlignment="1">
      <alignment vertical="justify"/>
    </xf>
    <xf numFmtId="0" fontId="8" fillId="0" borderId="1" xfId="12" applyFont="1" applyBorder="1" applyAlignment="1">
      <alignment vertical="justify"/>
    </xf>
    <xf numFmtId="0" fontId="9" fillId="0" borderId="1" xfId="12" quotePrefix="1" applyFont="1" applyBorder="1" applyAlignment="1">
      <alignment horizontal="left" vertical="justify"/>
    </xf>
    <xf numFmtId="0" fontId="8" fillId="0" borderId="30" xfId="12" applyFont="1" applyBorder="1" applyAlignment="1">
      <alignment horizontal="left" vertical="justify"/>
    </xf>
    <xf numFmtId="0" fontId="8" fillId="0" borderId="20" xfId="12" applyFont="1" applyBorder="1" applyAlignment="1">
      <alignment horizontal="left" vertical="justify"/>
    </xf>
    <xf numFmtId="0" fontId="9" fillId="0" borderId="30" xfId="12" applyFont="1" applyBorder="1" applyAlignment="1">
      <alignment horizontal="justify" vertical="center" wrapText="1"/>
    </xf>
    <xf numFmtId="0" fontId="9" fillId="0" borderId="20" xfId="12" applyFont="1" applyBorder="1" applyAlignment="1">
      <alignment horizontal="justify" vertical="center" wrapText="1"/>
    </xf>
    <xf numFmtId="0" fontId="9" fillId="0" borderId="30" xfId="12" applyFont="1" applyBorder="1" applyAlignment="1">
      <alignment horizontal="justify" vertical="justify"/>
    </xf>
    <xf numFmtId="0" fontId="8" fillId="0" borderId="20" xfId="12" applyFont="1" applyBorder="1" applyAlignment="1">
      <alignment horizontal="justify" vertical="justify"/>
    </xf>
    <xf numFmtId="0" fontId="4" fillId="2" borderId="18" xfId="0" applyFont="1" applyFill="1" applyBorder="1" applyAlignment="1">
      <alignment horizontal="left" indent="1"/>
    </xf>
    <xf numFmtId="0" fontId="4" fillId="2" borderId="19" xfId="0" applyFont="1" applyFill="1" applyBorder="1" applyAlignment="1">
      <alignment horizontal="left" indent="1"/>
    </xf>
    <xf numFmtId="0" fontId="4" fillId="2" borderId="20" xfId="0" applyFont="1" applyFill="1" applyBorder="1" applyAlignment="1">
      <alignment horizontal="left" inden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wrapText="1"/>
    </xf>
    <xf numFmtId="0" fontId="4" fillId="2" borderId="7" xfId="0" applyFont="1" applyFill="1" applyBorder="1" applyAlignment="1">
      <alignment horizontal="justify" wrapText="1"/>
    </xf>
    <xf numFmtId="0" fontId="4" fillId="2" borderId="0" xfId="0" applyFont="1" applyFill="1" applyAlignment="1">
      <alignment wrapText="1"/>
    </xf>
    <xf numFmtId="0" fontId="4" fillId="2" borderId="7" xfId="0" applyFont="1" applyFill="1" applyBorder="1" applyAlignment="1">
      <alignment wrapText="1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left" indent="1"/>
    </xf>
    <xf numFmtId="0" fontId="5" fillId="2" borderId="19" xfId="0" applyFont="1" applyFill="1" applyBorder="1" applyAlignment="1">
      <alignment horizontal="left" indent="1"/>
    </xf>
    <xf numFmtId="0" fontId="5" fillId="2" borderId="20" xfId="0" applyFont="1" applyFill="1" applyBorder="1" applyAlignment="1">
      <alignment horizontal="left" indent="1"/>
    </xf>
    <xf numFmtId="0" fontId="4" fillId="2" borderId="24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174" fontId="5" fillId="2" borderId="30" xfId="0" applyNumberFormat="1" applyFont="1" applyFill="1" applyBorder="1" applyAlignment="1">
      <alignment horizontal="center"/>
    </xf>
    <xf numFmtId="174" fontId="5" fillId="2" borderId="20" xfId="0" applyNumberFormat="1" applyFont="1" applyFill="1" applyBorder="1" applyAlignment="1">
      <alignment horizontal="center"/>
    </xf>
    <xf numFmtId="0" fontId="4" fillId="2" borderId="24" xfId="0" applyFont="1" applyFill="1" applyBorder="1" applyAlignment="1">
      <alignment horizontal="left" indent="1"/>
    </xf>
    <xf numFmtId="0" fontId="4" fillId="2" borderId="25" xfId="0" applyFont="1" applyFill="1" applyBorder="1" applyAlignment="1">
      <alignment horizontal="left" indent="1"/>
    </xf>
    <xf numFmtId="0" fontId="4" fillId="2" borderId="26" xfId="0" applyFont="1" applyFill="1" applyBorder="1" applyAlignment="1">
      <alignment horizontal="left" indent="1"/>
    </xf>
    <xf numFmtId="0" fontId="5" fillId="2" borderId="18" xfId="0" applyFont="1" applyFill="1" applyBorder="1" applyAlignment="1">
      <alignment horizontal="left"/>
    </xf>
    <xf numFmtId="0" fontId="5" fillId="2" borderId="19" xfId="0" applyFont="1" applyFill="1" applyBorder="1" applyAlignment="1">
      <alignment horizontal="left"/>
    </xf>
    <xf numFmtId="0" fontId="5" fillId="2" borderId="20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left"/>
    </xf>
    <xf numFmtId="0" fontId="4" fillId="2" borderId="20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16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174" fontId="4" fillId="2" borderId="30" xfId="0" applyNumberFormat="1" applyFont="1" applyFill="1" applyBorder="1" applyAlignment="1">
      <alignment horizontal="center"/>
    </xf>
    <xf numFmtId="174" fontId="4" fillId="2" borderId="20" xfId="0" applyNumberFormat="1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174" fontId="4" fillId="2" borderId="37" xfId="0" applyNumberFormat="1" applyFont="1" applyFill="1" applyBorder="1" applyAlignment="1">
      <alignment horizontal="center"/>
    </xf>
    <xf numFmtId="174" fontId="4" fillId="2" borderId="26" xfId="0" applyNumberFormat="1" applyFont="1" applyFill="1" applyBorder="1" applyAlignment="1">
      <alignment horizontal="center"/>
    </xf>
  </cellXfs>
  <cellStyles count="44">
    <cellStyle name="Currency_pres esc_1" xfId="1" xr:uid="{00000000-0005-0000-0000-000000000000}"/>
    <cellStyle name="Euro" xfId="2" xr:uid="{00000000-0005-0000-0000-000001000000}"/>
    <cellStyle name="Millares [0] 4" xfId="19" xr:uid="{00000000-0005-0000-0000-000002000000}"/>
    <cellStyle name="Millares 10" xfId="20" xr:uid="{00000000-0005-0000-0000-000003000000}"/>
    <cellStyle name="Millares 115" xfId="21" xr:uid="{00000000-0005-0000-0000-000004000000}"/>
    <cellStyle name="Millares 2" xfId="3" xr:uid="{00000000-0005-0000-0000-000005000000}"/>
    <cellStyle name="Millares 2 2" xfId="4" xr:uid="{00000000-0005-0000-0000-000006000000}"/>
    <cellStyle name="Millares 2 2 2" xfId="39" xr:uid="{00000000-0005-0000-0000-000007000000}"/>
    <cellStyle name="Millares 2 5 2" xfId="22" xr:uid="{00000000-0005-0000-0000-000008000000}"/>
    <cellStyle name="Millares 3" xfId="5" xr:uid="{00000000-0005-0000-0000-000009000000}"/>
    <cellStyle name="Millares 3 2" xfId="6" xr:uid="{00000000-0005-0000-0000-00000A000000}"/>
    <cellStyle name="Millares 4" xfId="7" xr:uid="{00000000-0005-0000-0000-00000B000000}"/>
    <cellStyle name="Millares 5" xfId="38" xr:uid="{00000000-0005-0000-0000-00000C000000}"/>
    <cellStyle name="Millares 6" xfId="40" xr:uid="{00000000-0005-0000-0000-00000D000000}"/>
    <cellStyle name="Millares_formatos APU AYAPEL" xfId="18" xr:uid="{00000000-0005-0000-0000-00000E000000}"/>
    <cellStyle name="Moneda [0] 4" xfId="23" xr:uid="{00000000-0005-0000-0000-00000F000000}"/>
    <cellStyle name="Moneda [0] 5" xfId="24" xr:uid="{00000000-0005-0000-0000-000010000000}"/>
    <cellStyle name="Moneda 10" xfId="25" xr:uid="{00000000-0005-0000-0000-000011000000}"/>
    <cellStyle name="Moneda 2" xfId="8" xr:uid="{00000000-0005-0000-0000-000012000000}"/>
    <cellStyle name="Moneda 2 2" xfId="9" xr:uid="{00000000-0005-0000-0000-000013000000}"/>
    <cellStyle name="Moneda 2 2 2" xfId="41" xr:uid="{00000000-0005-0000-0000-000014000000}"/>
    <cellStyle name="Moneda 2 34" xfId="26" xr:uid="{00000000-0005-0000-0000-000015000000}"/>
    <cellStyle name="Moneda 3" xfId="10" xr:uid="{00000000-0005-0000-0000-000016000000}"/>
    <cellStyle name="Moneda 4" xfId="11" xr:uid="{00000000-0005-0000-0000-000017000000}"/>
    <cellStyle name="Normal" xfId="0" builtinId="0"/>
    <cellStyle name="Normal 12" xfId="27" xr:uid="{00000000-0005-0000-0000-000019000000}"/>
    <cellStyle name="Normal 13" xfId="28" xr:uid="{00000000-0005-0000-0000-00001A000000}"/>
    <cellStyle name="Normal 2" xfId="12" xr:uid="{00000000-0005-0000-0000-00001B000000}"/>
    <cellStyle name="Normal 2 2" xfId="13" xr:uid="{00000000-0005-0000-0000-00001C000000}"/>
    <cellStyle name="Normal 2 2 2" xfId="14" xr:uid="{00000000-0005-0000-0000-00001D000000}"/>
    <cellStyle name="Normal 2 2 3" xfId="29" xr:uid="{00000000-0005-0000-0000-00001E000000}"/>
    <cellStyle name="Normal 2 3" xfId="15" xr:uid="{00000000-0005-0000-0000-00001F000000}"/>
    <cellStyle name="Normal 3" xfId="35" xr:uid="{00000000-0005-0000-0000-000020000000}"/>
    <cellStyle name="Normal 4" xfId="37" xr:uid="{00000000-0005-0000-0000-000021000000}"/>
    <cellStyle name="Normal 5 2" xfId="34" xr:uid="{00000000-0005-0000-0000-000022000000}"/>
    <cellStyle name="Normal 6 2" xfId="30" xr:uid="{00000000-0005-0000-0000-000023000000}"/>
    <cellStyle name="Normal 8" xfId="31" xr:uid="{00000000-0005-0000-0000-000024000000}"/>
    <cellStyle name="Porcentaje" xfId="43" builtinId="5"/>
    <cellStyle name="Porcentaje 2 2" xfId="42" xr:uid="{00000000-0005-0000-0000-000026000000}"/>
    <cellStyle name="Porcentaje 3" xfId="36" xr:uid="{00000000-0005-0000-0000-000027000000}"/>
    <cellStyle name="Porcentaje 4 2" xfId="32" xr:uid="{00000000-0005-0000-0000-000028000000}"/>
    <cellStyle name="Porcentaje 8" xfId="33" xr:uid="{00000000-0005-0000-0000-000029000000}"/>
    <cellStyle name="Porcentual 2" xfId="16" xr:uid="{00000000-0005-0000-0000-00002A000000}"/>
    <cellStyle name="Porcentual 3" xfId="17" xr:uid="{00000000-0005-0000-0000-00002B000000}"/>
  </cellStyles>
  <dxfs count="0"/>
  <tableStyles count="0" defaultTableStyle="TableStyleMedium2" defaultPivotStyle="PivotStyleLight16"/>
  <colors>
    <mruColors>
      <color rgb="FFC6E9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" Type="http://schemas.openxmlformats.org/officeDocument/2006/relationships/image" Target="../media/image4.png"/><Relationship Id="rId16" Type="http://schemas.openxmlformats.org/officeDocument/2006/relationships/image" Target="../media/image18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22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161925</xdr:rowOff>
    </xdr:from>
    <xdr:to>
      <xdr:col>1</xdr:col>
      <xdr:colOff>809625</xdr:colOff>
      <xdr:row>4</xdr:row>
      <xdr:rowOff>180975</xdr:rowOff>
    </xdr:to>
    <xdr:pic>
      <xdr:nvPicPr>
        <xdr:cNvPr id="2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6477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1114425</xdr:colOff>
      <xdr:row>0</xdr:row>
      <xdr:rowOff>152400</xdr:rowOff>
    </xdr:from>
    <xdr:to>
      <xdr:col>5</xdr:col>
      <xdr:colOff>728662</xdr:colOff>
      <xdr:row>4</xdr:row>
      <xdr:rowOff>196850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152400"/>
          <a:ext cx="868362" cy="69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72151</xdr:colOff>
      <xdr:row>0</xdr:row>
      <xdr:rowOff>0</xdr:rowOff>
    </xdr:from>
    <xdr:to>
      <xdr:col>10</xdr:col>
      <xdr:colOff>627611</xdr:colOff>
      <xdr:row>23</xdr:row>
      <xdr:rowOff>7620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4C904E-D713-4C21-9EBA-9A267395CB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25" t="7927" b="4728"/>
        <a:stretch/>
      </xdr:blipFill>
      <xdr:spPr>
        <a:xfrm>
          <a:off x="72151" y="0"/>
          <a:ext cx="8480260" cy="4213860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23</xdr:row>
      <xdr:rowOff>114300</xdr:rowOff>
    </xdr:from>
    <xdr:to>
      <xdr:col>10</xdr:col>
      <xdr:colOff>594360</xdr:colOff>
      <xdr:row>49</xdr:row>
      <xdr:rowOff>53340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490EFB-9980-4488-9761-004D21E309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3" t="8075" r="1" b="6062"/>
        <a:stretch/>
      </xdr:blipFill>
      <xdr:spPr>
        <a:xfrm>
          <a:off x="83820" y="4320540"/>
          <a:ext cx="8435340" cy="4693920"/>
        </a:xfrm>
        <a:prstGeom prst="rect">
          <a:avLst/>
        </a:prstGeom>
      </xdr:spPr>
    </xdr:pic>
    <xdr:clientData/>
  </xdr:twoCellAnchor>
  <xdr:twoCellAnchor editAs="oneCell">
    <xdr:from>
      <xdr:col>0</xdr:col>
      <xdr:colOff>57388</xdr:colOff>
      <xdr:row>49</xdr:row>
      <xdr:rowOff>144780</xdr:rowOff>
    </xdr:from>
    <xdr:to>
      <xdr:col>10</xdr:col>
      <xdr:colOff>594359</xdr:colOff>
      <xdr:row>71</xdr:row>
      <xdr:rowOff>68580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B2FD408-4E14-49CC-BF91-D230042EC6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09" t="8445" b="5613"/>
        <a:stretch/>
      </xdr:blipFill>
      <xdr:spPr>
        <a:xfrm>
          <a:off x="57388" y="9105900"/>
          <a:ext cx="8461771" cy="3947160"/>
        </a:xfrm>
        <a:prstGeom prst="rect">
          <a:avLst/>
        </a:prstGeom>
      </xdr:spPr>
    </xdr:pic>
    <xdr:clientData/>
  </xdr:twoCellAnchor>
  <xdr:twoCellAnchor editAs="oneCell">
    <xdr:from>
      <xdr:col>0</xdr:col>
      <xdr:colOff>85372</xdr:colOff>
      <xdr:row>72</xdr:row>
      <xdr:rowOff>30480</xdr:rowOff>
    </xdr:from>
    <xdr:to>
      <xdr:col>10</xdr:col>
      <xdr:colOff>594360</xdr:colOff>
      <xdr:row>95</xdr:row>
      <xdr:rowOff>83820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D0C5B1F-3F68-4C9E-B26C-26B0B1B4D7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2" t="10446" b="4561"/>
        <a:stretch/>
      </xdr:blipFill>
      <xdr:spPr>
        <a:xfrm>
          <a:off x="85372" y="13197840"/>
          <a:ext cx="8433788" cy="4259580"/>
        </a:xfrm>
        <a:prstGeom prst="rect">
          <a:avLst/>
        </a:prstGeom>
      </xdr:spPr>
    </xdr:pic>
    <xdr:clientData/>
  </xdr:twoCellAnchor>
  <xdr:twoCellAnchor editAs="oneCell">
    <xdr:from>
      <xdr:col>0</xdr:col>
      <xdr:colOff>91441</xdr:colOff>
      <xdr:row>96</xdr:row>
      <xdr:rowOff>7620</xdr:rowOff>
    </xdr:from>
    <xdr:to>
      <xdr:col>10</xdr:col>
      <xdr:colOff>601980</xdr:colOff>
      <xdr:row>120</xdr:row>
      <xdr:rowOff>137160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1915BC4-757B-4975-868C-5C37C11775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08" t="11631" b="7247"/>
        <a:stretch/>
      </xdr:blipFill>
      <xdr:spPr>
        <a:xfrm>
          <a:off x="91441" y="17564100"/>
          <a:ext cx="8435339" cy="451866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121</xdr:row>
      <xdr:rowOff>7620</xdr:rowOff>
    </xdr:from>
    <xdr:to>
      <xdr:col>10</xdr:col>
      <xdr:colOff>594359</xdr:colOff>
      <xdr:row>141</xdr:row>
      <xdr:rowOff>30480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DFBDC3D-6509-47A0-AE2E-94BA97BE9E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-116" t="11409" b="7406"/>
        <a:stretch/>
      </xdr:blipFill>
      <xdr:spPr>
        <a:xfrm>
          <a:off x="121920" y="22136100"/>
          <a:ext cx="8397239" cy="3680460"/>
        </a:xfrm>
        <a:prstGeom prst="rect">
          <a:avLst/>
        </a:prstGeom>
      </xdr:spPr>
    </xdr:pic>
    <xdr:clientData/>
  </xdr:twoCellAnchor>
  <xdr:twoCellAnchor editAs="oneCell">
    <xdr:from>
      <xdr:col>0</xdr:col>
      <xdr:colOff>126999</xdr:colOff>
      <xdr:row>142</xdr:row>
      <xdr:rowOff>85962</xdr:rowOff>
    </xdr:from>
    <xdr:to>
      <xdr:col>10</xdr:col>
      <xdr:colOff>406399</xdr:colOff>
      <xdr:row>158</xdr:row>
      <xdr:rowOff>147320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C2B6268-4239-475F-92EC-0C9809FCCA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41" t="27559" r="8988" b="12433"/>
        <a:stretch/>
      </xdr:blipFill>
      <xdr:spPr>
        <a:xfrm>
          <a:off x="126999" y="26535829"/>
          <a:ext cx="8238067" cy="3041624"/>
        </a:xfrm>
        <a:prstGeom prst="rect">
          <a:avLst/>
        </a:prstGeom>
      </xdr:spPr>
    </xdr:pic>
    <xdr:clientData/>
  </xdr:twoCellAnchor>
  <xdr:twoCellAnchor editAs="oneCell">
    <xdr:from>
      <xdr:col>0</xdr:col>
      <xdr:colOff>101600</xdr:colOff>
      <xdr:row>159</xdr:row>
      <xdr:rowOff>42333</xdr:rowOff>
    </xdr:from>
    <xdr:to>
      <xdr:col>10</xdr:col>
      <xdr:colOff>448733</xdr:colOff>
      <xdr:row>186</xdr:row>
      <xdr:rowOff>33867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C003E15-2C0C-46CA-8DAE-B5855C5CA0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-36" t="11784" b="5029"/>
        <a:stretch/>
      </xdr:blipFill>
      <xdr:spPr>
        <a:xfrm>
          <a:off x="101600" y="29658733"/>
          <a:ext cx="8305800" cy="5020734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187</xdr:row>
      <xdr:rowOff>8466</xdr:rowOff>
    </xdr:from>
    <xdr:to>
      <xdr:col>10</xdr:col>
      <xdr:colOff>457201</xdr:colOff>
      <xdr:row>212</xdr:row>
      <xdr:rowOff>169334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1FCC87A-041B-4C64-A9A4-E33F866B91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369" t="11225" b="6886"/>
        <a:stretch/>
      </xdr:blipFill>
      <xdr:spPr>
        <a:xfrm>
          <a:off x="127000" y="34840333"/>
          <a:ext cx="8288868" cy="4817534"/>
        </a:xfrm>
        <a:prstGeom prst="rect">
          <a:avLst/>
        </a:prstGeom>
      </xdr:spPr>
    </xdr:pic>
    <xdr:clientData/>
  </xdr:twoCellAnchor>
  <xdr:twoCellAnchor editAs="oneCell">
    <xdr:from>
      <xdr:col>0</xdr:col>
      <xdr:colOff>124179</xdr:colOff>
      <xdr:row>213</xdr:row>
      <xdr:rowOff>152400</xdr:rowOff>
    </xdr:from>
    <xdr:to>
      <xdr:col>10</xdr:col>
      <xdr:colOff>423333</xdr:colOff>
      <xdr:row>240</xdr:row>
      <xdr:rowOff>50800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F4C371F-36FE-45D8-8244-CBC31AB35E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11497" b="4864"/>
        <a:stretch/>
      </xdr:blipFill>
      <xdr:spPr>
        <a:xfrm>
          <a:off x="124179" y="39827200"/>
          <a:ext cx="8257821" cy="492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115945</xdr:colOff>
      <xdr:row>240</xdr:row>
      <xdr:rowOff>160868</xdr:rowOff>
    </xdr:from>
    <xdr:to>
      <xdr:col>10</xdr:col>
      <xdr:colOff>381000</xdr:colOff>
      <xdr:row>267</xdr:row>
      <xdr:rowOff>143934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508CB49-CF84-45A8-8C4F-CD63669A59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66" t="11524" b="5092"/>
        <a:stretch/>
      </xdr:blipFill>
      <xdr:spPr>
        <a:xfrm>
          <a:off x="115945" y="44864868"/>
          <a:ext cx="8223722" cy="5012266"/>
        </a:xfrm>
        <a:prstGeom prst="rect">
          <a:avLst/>
        </a:prstGeom>
      </xdr:spPr>
    </xdr:pic>
    <xdr:clientData/>
  </xdr:twoCellAnchor>
  <xdr:twoCellAnchor editAs="oneCell">
    <xdr:from>
      <xdr:col>0</xdr:col>
      <xdr:colOff>123237</xdr:colOff>
      <xdr:row>268</xdr:row>
      <xdr:rowOff>50799</xdr:rowOff>
    </xdr:from>
    <xdr:to>
      <xdr:col>10</xdr:col>
      <xdr:colOff>372533</xdr:colOff>
      <xdr:row>295</xdr:row>
      <xdr:rowOff>169332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25D15753-3811-4E79-A64D-572D6CDB90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t="11360" b="4411"/>
        <a:stretch/>
      </xdr:blipFill>
      <xdr:spPr>
        <a:xfrm>
          <a:off x="123237" y="49970266"/>
          <a:ext cx="8207963" cy="5147733"/>
        </a:xfrm>
        <a:prstGeom prst="rect">
          <a:avLst/>
        </a:prstGeom>
      </xdr:spPr>
    </xdr:pic>
    <xdr:clientData/>
  </xdr:twoCellAnchor>
  <xdr:twoCellAnchor editAs="oneCell">
    <xdr:from>
      <xdr:col>0</xdr:col>
      <xdr:colOff>110067</xdr:colOff>
      <xdr:row>296</xdr:row>
      <xdr:rowOff>110067</xdr:rowOff>
    </xdr:from>
    <xdr:to>
      <xdr:col>10</xdr:col>
      <xdr:colOff>364066</xdr:colOff>
      <xdr:row>315</xdr:row>
      <xdr:rowOff>177799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6F2694C-B60C-4C98-9FD5-142D9FAD9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1447" t="11274" b="6939"/>
        <a:stretch/>
      </xdr:blipFill>
      <xdr:spPr>
        <a:xfrm>
          <a:off x="110067" y="55245000"/>
          <a:ext cx="8212666" cy="3606799"/>
        </a:xfrm>
        <a:prstGeom prst="rect">
          <a:avLst/>
        </a:prstGeom>
      </xdr:spPr>
    </xdr:pic>
    <xdr:clientData/>
  </xdr:twoCellAnchor>
  <xdr:twoCellAnchor editAs="oneCell">
    <xdr:from>
      <xdr:col>0</xdr:col>
      <xdr:colOff>110066</xdr:colOff>
      <xdr:row>316</xdr:row>
      <xdr:rowOff>160867</xdr:rowOff>
    </xdr:from>
    <xdr:to>
      <xdr:col>10</xdr:col>
      <xdr:colOff>347133</xdr:colOff>
      <xdr:row>336</xdr:row>
      <xdr:rowOff>25400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EA60E34C-BAC9-4BDA-AA27-3556F9E7E7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377" t="12535" b="5025"/>
        <a:stretch/>
      </xdr:blipFill>
      <xdr:spPr>
        <a:xfrm>
          <a:off x="110066" y="59021134"/>
          <a:ext cx="8195734" cy="3589866"/>
        </a:xfrm>
        <a:prstGeom prst="rect">
          <a:avLst/>
        </a:prstGeom>
      </xdr:spPr>
    </xdr:pic>
    <xdr:clientData/>
  </xdr:twoCellAnchor>
  <xdr:twoCellAnchor editAs="oneCell">
    <xdr:from>
      <xdr:col>0</xdr:col>
      <xdr:colOff>108184</xdr:colOff>
      <xdr:row>337</xdr:row>
      <xdr:rowOff>8465</xdr:rowOff>
    </xdr:from>
    <xdr:to>
      <xdr:col>10</xdr:col>
      <xdr:colOff>347133</xdr:colOff>
      <xdr:row>360</xdr:row>
      <xdr:rowOff>59267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E90C168-1EBF-48A3-9F0E-0040146665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t="10937" b="4743"/>
        <a:stretch/>
      </xdr:blipFill>
      <xdr:spPr>
        <a:xfrm>
          <a:off x="108184" y="62780332"/>
          <a:ext cx="8197616" cy="4080935"/>
        </a:xfrm>
        <a:prstGeom prst="rect">
          <a:avLst/>
        </a:prstGeom>
      </xdr:spPr>
    </xdr:pic>
    <xdr:clientData/>
  </xdr:twoCellAnchor>
  <xdr:twoCellAnchor editAs="oneCell">
    <xdr:from>
      <xdr:col>0</xdr:col>
      <xdr:colOff>84667</xdr:colOff>
      <xdr:row>360</xdr:row>
      <xdr:rowOff>177801</xdr:rowOff>
    </xdr:from>
    <xdr:to>
      <xdr:col>10</xdr:col>
      <xdr:colOff>304800</xdr:colOff>
      <xdr:row>380</xdr:row>
      <xdr:rowOff>67734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C3E285EF-AE72-4131-8F33-EBC72B7399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t="8285" b="5425"/>
        <a:stretch/>
      </xdr:blipFill>
      <xdr:spPr>
        <a:xfrm>
          <a:off x="84667" y="66979801"/>
          <a:ext cx="8178800" cy="3615266"/>
        </a:xfrm>
        <a:prstGeom prst="rect">
          <a:avLst/>
        </a:prstGeom>
      </xdr:spPr>
    </xdr:pic>
    <xdr:clientData/>
  </xdr:twoCellAnchor>
  <xdr:twoCellAnchor editAs="oneCell">
    <xdr:from>
      <xdr:col>0</xdr:col>
      <xdr:colOff>100659</xdr:colOff>
      <xdr:row>383</xdr:row>
      <xdr:rowOff>143935</xdr:rowOff>
    </xdr:from>
    <xdr:to>
      <xdr:col>10</xdr:col>
      <xdr:colOff>327914</xdr:colOff>
      <xdr:row>404</xdr:row>
      <xdr:rowOff>118535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96264AC-B72C-4A47-8462-26DC6F043F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t="11032" b="4569"/>
        <a:stretch/>
      </xdr:blipFill>
      <xdr:spPr>
        <a:xfrm>
          <a:off x="100659" y="71230068"/>
          <a:ext cx="8185922" cy="3886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106303</xdr:colOff>
      <xdr:row>405</xdr:row>
      <xdr:rowOff>84668</xdr:rowOff>
    </xdr:from>
    <xdr:to>
      <xdr:col>10</xdr:col>
      <xdr:colOff>313266</xdr:colOff>
      <xdr:row>424</xdr:row>
      <xdr:rowOff>152401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D79C89E5-EBFB-4A5D-8B03-CC41B17B58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t="11745" b="4864"/>
        <a:stretch/>
      </xdr:blipFill>
      <xdr:spPr>
        <a:xfrm>
          <a:off x="106303" y="75268668"/>
          <a:ext cx="8165630" cy="3606800"/>
        </a:xfrm>
        <a:prstGeom prst="rect">
          <a:avLst/>
        </a:prstGeom>
      </xdr:spPr>
    </xdr:pic>
    <xdr:clientData/>
  </xdr:twoCellAnchor>
  <xdr:twoCellAnchor editAs="oneCell">
    <xdr:from>
      <xdr:col>0</xdr:col>
      <xdr:colOff>67734</xdr:colOff>
      <xdr:row>425</xdr:row>
      <xdr:rowOff>110066</xdr:rowOff>
    </xdr:from>
    <xdr:to>
      <xdr:col>10</xdr:col>
      <xdr:colOff>313266</xdr:colOff>
      <xdr:row>439</xdr:row>
      <xdr:rowOff>101599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A74523F0-5480-4CCD-87F9-93DBB0DB3F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-389" t="42182" r="10084" b="20085"/>
        <a:stretch/>
      </xdr:blipFill>
      <xdr:spPr>
        <a:xfrm>
          <a:off x="67734" y="79019399"/>
          <a:ext cx="8204199" cy="259926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120317</xdr:colOff>
      <xdr:row>0</xdr:row>
      <xdr:rowOff>30079</xdr:rowOff>
    </xdr:from>
    <xdr:to>
      <xdr:col>2</xdr:col>
      <xdr:colOff>387017</xdr:colOff>
      <xdr:row>3</xdr:row>
      <xdr:rowOff>144379</xdr:rowOff>
    </xdr:to>
    <xdr:pic>
      <xdr:nvPicPr>
        <xdr:cNvPr id="2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106" y="30079"/>
          <a:ext cx="6477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751974</xdr:colOff>
      <xdr:row>0</xdr:row>
      <xdr:rowOff>40106</xdr:rowOff>
    </xdr:from>
    <xdr:to>
      <xdr:col>9</xdr:col>
      <xdr:colOff>394202</xdr:colOff>
      <xdr:row>3</xdr:row>
      <xdr:rowOff>144380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0058" y="40106"/>
          <a:ext cx="853407" cy="681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MPAQ\Downloads\PRESUPUESTO%20FINAL%20CASA%20INDIGENA%20-%20REV-24-11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"/>
      <sheetName val="Presupuesto"/>
      <sheetName val="A.P.U."/>
      <sheetName val="APUS ELECTRICO"/>
      <sheetName val="A.P.A."/>
      <sheetName val="CUADRILLAS (2)"/>
      <sheetName val="SALARIOS Y PRESTACIONES"/>
      <sheetName val="PROGRAMACION"/>
      <sheetName val="Factor Multiplicador"/>
      <sheetName val="LISTA DE INSUMOS"/>
      <sheetName val="AIU"/>
      <sheetName val="PRES INTERVE"/>
      <sheetName val="PRES PGIO"/>
      <sheetName val="A.U "/>
      <sheetName val="MATERIALES"/>
    </sheetNames>
    <sheetDataSet>
      <sheetData sheetId="0"/>
      <sheetData sheetId="1">
        <row r="7">
          <cell r="A7" t="str">
            <v>CONSTRUCCION DE LA PRIMERA ETAPA DECASA DE PASO CABILDO INDIGENA DEL MUNICIPIO DE CAUCASIA ANTIOQUIA</v>
          </cell>
        </row>
      </sheetData>
      <sheetData sheetId="2"/>
      <sheetData sheetId="3"/>
      <sheetData sheetId="4"/>
      <sheetData sheetId="5"/>
      <sheetData sheetId="6">
        <row r="42">
          <cell r="C42">
            <v>1.7854865904454609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12">
          <cell r="C12">
            <v>50000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S70"/>
  <sheetViews>
    <sheetView tabSelected="1" view="pageBreakPreview" topLeftCell="A7" zoomScale="120" zoomScaleNormal="120" zoomScaleSheetLayoutView="120" workbookViewId="0">
      <selection activeCell="E16" sqref="E16"/>
    </sheetView>
  </sheetViews>
  <sheetFormatPr baseColWidth="10" defaultRowHeight="12.75" x14ac:dyDescent="0.2"/>
  <cols>
    <col min="1" max="1" width="6.7109375" style="128" customWidth="1"/>
    <col min="2" max="2" width="45.42578125" style="126" customWidth="1"/>
    <col min="3" max="3" width="6.7109375" style="126" customWidth="1"/>
    <col min="4" max="4" width="9.5703125" style="141" customWidth="1"/>
    <col min="5" max="5" width="18.140625" style="126" customWidth="1"/>
    <col min="6" max="6" width="13.28515625" style="126" customWidth="1"/>
    <col min="7" max="7" width="18.140625" style="126" customWidth="1"/>
    <col min="8" max="8" width="21.28515625" style="126" customWidth="1"/>
    <col min="9" max="9" width="12" style="126" hidden="1" customWidth="1"/>
    <col min="10" max="11" width="11.42578125" style="126"/>
    <col min="12" max="12" width="17.85546875" style="126" bestFit="1" customWidth="1"/>
    <col min="13" max="258" width="11.42578125" style="126"/>
    <col min="259" max="259" width="6.7109375" style="126" customWidth="1"/>
    <col min="260" max="260" width="44.28515625" style="126" customWidth="1"/>
    <col min="261" max="261" width="6.140625" style="126" customWidth="1"/>
    <col min="262" max="262" width="7.7109375" style="126" customWidth="1"/>
    <col min="263" max="263" width="17" style="126" customWidth="1"/>
    <col min="264" max="264" width="18.140625" style="126" customWidth="1"/>
    <col min="265" max="514" width="11.42578125" style="126"/>
    <col min="515" max="515" width="6.7109375" style="126" customWidth="1"/>
    <col min="516" max="516" width="44.28515625" style="126" customWidth="1"/>
    <col min="517" max="517" width="6.140625" style="126" customWidth="1"/>
    <col min="518" max="518" width="7.7109375" style="126" customWidth="1"/>
    <col min="519" max="519" width="17" style="126" customWidth="1"/>
    <col min="520" max="520" width="18.140625" style="126" customWidth="1"/>
    <col min="521" max="770" width="11.42578125" style="126"/>
    <col min="771" max="771" width="6.7109375" style="126" customWidth="1"/>
    <col min="772" max="772" width="44.28515625" style="126" customWidth="1"/>
    <col min="773" max="773" width="6.140625" style="126" customWidth="1"/>
    <col min="774" max="774" width="7.7109375" style="126" customWidth="1"/>
    <col min="775" max="775" width="17" style="126" customWidth="1"/>
    <col min="776" max="776" width="18.140625" style="126" customWidth="1"/>
    <col min="777" max="1026" width="11.42578125" style="126"/>
    <col min="1027" max="1027" width="6.7109375" style="126" customWidth="1"/>
    <col min="1028" max="1028" width="44.28515625" style="126" customWidth="1"/>
    <col min="1029" max="1029" width="6.140625" style="126" customWidth="1"/>
    <col min="1030" max="1030" width="7.7109375" style="126" customWidth="1"/>
    <col min="1031" max="1031" width="17" style="126" customWidth="1"/>
    <col min="1032" max="1032" width="18.140625" style="126" customWidth="1"/>
    <col min="1033" max="1282" width="11.42578125" style="126"/>
    <col min="1283" max="1283" width="6.7109375" style="126" customWidth="1"/>
    <col min="1284" max="1284" width="44.28515625" style="126" customWidth="1"/>
    <col min="1285" max="1285" width="6.140625" style="126" customWidth="1"/>
    <col min="1286" max="1286" width="7.7109375" style="126" customWidth="1"/>
    <col min="1287" max="1287" width="17" style="126" customWidth="1"/>
    <col min="1288" max="1288" width="18.140625" style="126" customWidth="1"/>
    <col min="1289" max="1538" width="11.42578125" style="126"/>
    <col min="1539" max="1539" width="6.7109375" style="126" customWidth="1"/>
    <col min="1540" max="1540" width="44.28515625" style="126" customWidth="1"/>
    <col min="1541" max="1541" width="6.140625" style="126" customWidth="1"/>
    <col min="1542" max="1542" width="7.7109375" style="126" customWidth="1"/>
    <col min="1543" max="1543" width="17" style="126" customWidth="1"/>
    <col min="1544" max="1544" width="18.140625" style="126" customWidth="1"/>
    <col min="1545" max="1794" width="11.42578125" style="126"/>
    <col min="1795" max="1795" width="6.7109375" style="126" customWidth="1"/>
    <col min="1796" max="1796" width="44.28515625" style="126" customWidth="1"/>
    <col min="1797" max="1797" width="6.140625" style="126" customWidth="1"/>
    <col min="1798" max="1798" width="7.7109375" style="126" customWidth="1"/>
    <col min="1799" max="1799" width="17" style="126" customWidth="1"/>
    <col min="1800" max="1800" width="18.140625" style="126" customWidth="1"/>
    <col min="1801" max="2050" width="11.42578125" style="126"/>
    <col min="2051" max="2051" width="6.7109375" style="126" customWidth="1"/>
    <col min="2052" max="2052" width="44.28515625" style="126" customWidth="1"/>
    <col min="2053" max="2053" width="6.140625" style="126" customWidth="1"/>
    <col min="2054" max="2054" width="7.7109375" style="126" customWidth="1"/>
    <col min="2055" max="2055" width="17" style="126" customWidth="1"/>
    <col min="2056" max="2056" width="18.140625" style="126" customWidth="1"/>
    <col min="2057" max="2306" width="11.42578125" style="126"/>
    <col min="2307" max="2307" width="6.7109375" style="126" customWidth="1"/>
    <col min="2308" max="2308" width="44.28515625" style="126" customWidth="1"/>
    <col min="2309" max="2309" width="6.140625" style="126" customWidth="1"/>
    <col min="2310" max="2310" width="7.7109375" style="126" customWidth="1"/>
    <col min="2311" max="2311" width="17" style="126" customWidth="1"/>
    <col min="2312" max="2312" width="18.140625" style="126" customWidth="1"/>
    <col min="2313" max="2562" width="11.42578125" style="126"/>
    <col min="2563" max="2563" width="6.7109375" style="126" customWidth="1"/>
    <col min="2564" max="2564" width="44.28515625" style="126" customWidth="1"/>
    <col min="2565" max="2565" width="6.140625" style="126" customWidth="1"/>
    <col min="2566" max="2566" width="7.7109375" style="126" customWidth="1"/>
    <col min="2567" max="2567" width="17" style="126" customWidth="1"/>
    <col min="2568" max="2568" width="18.140625" style="126" customWidth="1"/>
    <col min="2569" max="2818" width="11.42578125" style="126"/>
    <col min="2819" max="2819" width="6.7109375" style="126" customWidth="1"/>
    <col min="2820" max="2820" width="44.28515625" style="126" customWidth="1"/>
    <col min="2821" max="2821" width="6.140625" style="126" customWidth="1"/>
    <col min="2822" max="2822" width="7.7109375" style="126" customWidth="1"/>
    <col min="2823" max="2823" width="17" style="126" customWidth="1"/>
    <col min="2824" max="2824" width="18.140625" style="126" customWidth="1"/>
    <col min="2825" max="3074" width="11.42578125" style="126"/>
    <col min="3075" max="3075" width="6.7109375" style="126" customWidth="1"/>
    <col min="3076" max="3076" width="44.28515625" style="126" customWidth="1"/>
    <col min="3077" max="3077" width="6.140625" style="126" customWidth="1"/>
    <col min="3078" max="3078" width="7.7109375" style="126" customWidth="1"/>
    <col min="3079" max="3079" width="17" style="126" customWidth="1"/>
    <col min="3080" max="3080" width="18.140625" style="126" customWidth="1"/>
    <col min="3081" max="3330" width="11.42578125" style="126"/>
    <col min="3331" max="3331" width="6.7109375" style="126" customWidth="1"/>
    <col min="3332" max="3332" width="44.28515625" style="126" customWidth="1"/>
    <col min="3333" max="3333" width="6.140625" style="126" customWidth="1"/>
    <col min="3334" max="3334" width="7.7109375" style="126" customWidth="1"/>
    <col min="3335" max="3335" width="17" style="126" customWidth="1"/>
    <col min="3336" max="3336" width="18.140625" style="126" customWidth="1"/>
    <col min="3337" max="3586" width="11.42578125" style="126"/>
    <col min="3587" max="3587" width="6.7109375" style="126" customWidth="1"/>
    <col min="3588" max="3588" width="44.28515625" style="126" customWidth="1"/>
    <col min="3589" max="3589" width="6.140625" style="126" customWidth="1"/>
    <col min="3590" max="3590" width="7.7109375" style="126" customWidth="1"/>
    <col min="3591" max="3591" width="17" style="126" customWidth="1"/>
    <col min="3592" max="3592" width="18.140625" style="126" customWidth="1"/>
    <col min="3593" max="3842" width="11.42578125" style="126"/>
    <col min="3843" max="3843" width="6.7109375" style="126" customWidth="1"/>
    <col min="3844" max="3844" width="44.28515625" style="126" customWidth="1"/>
    <col min="3845" max="3845" width="6.140625" style="126" customWidth="1"/>
    <col min="3846" max="3846" width="7.7109375" style="126" customWidth="1"/>
    <col min="3847" max="3847" width="17" style="126" customWidth="1"/>
    <col min="3848" max="3848" width="18.140625" style="126" customWidth="1"/>
    <col min="3849" max="4098" width="11.42578125" style="126"/>
    <col min="4099" max="4099" width="6.7109375" style="126" customWidth="1"/>
    <col min="4100" max="4100" width="44.28515625" style="126" customWidth="1"/>
    <col min="4101" max="4101" width="6.140625" style="126" customWidth="1"/>
    <col min="4102" max="4102" width="7.7109375" style="126" customWidth="1"/>
    <col min="4103" max="4103" width="17" style="126" customWidth="1"/>
    <col min="4104" max="4104" width="18.140625" style="126" customWidth="1"/>
    <col min="4105" max="4354" width="11.42578125" style="126"/>
    <col min="4355" max="4355" width="6.7109375" style="126" customWidth="1"/>
    <col min="4356" max="4356" width="44.28515625" style="126" customWidth="1"/>
    <col min="4357" max="4357" width="6.140625" style="126" customWidth="1"/>
    <col min="4358" max="4358" width="7.7109375" style="126" customWidth="1"/>
    <col min="4359" max="4359" width="17" style="126" customWidth="1"/>
    <col min="4360" max="4360" width="18.140625" style="126" customWidth="1"/>
    <col min="4361" max="4610" width="11.42578125" style="126"/>
    <col min="4611" max="4611" width="6.7109375" style="126" customWidth="1"/>
    <col min="4612" max="4612" width="44.28515625" style="126" customWidth="1"/>
    <col min="4613" max="4613" width="6.140625" style="126" customWidth="1"/>
    <col min="4614" max="4614" width="7.7109375" style="126" customWidth="1"/>
    <col min="4615" max="4615" width="17" style="126" customWidth="1"/>
    <col min="4616" max="4616" width="18.140625" style="126" customWidth="1"/>
    <col min="4617" max="4866" width="11.42578125" style="126"/>
    <col min="4867" max="4867" width="6.7109375" style="126" customWidth="1"/>
    <col min="4868" max="4868" width="44.28515625" style="126" customWidth="1"/>
    <col min="4869" max="4869" width="6.140625" style="126" customWidth="1"/>
    <col min="4870" max="4870" width="7.7109375" style="126" customWidth="1"/>
    <col min="4871" max="4871" width="17" style="126" customWidth="1"/>
    <col min="4872" max="4872" width="18.140625" style="126" customWidth="1"/>
    <col min="4873" max="5122" width="11.42578125" style="126"/>
    <col min="5123" max="5123" width="6.7109375" style="126" customWidth="1"/>
    <col min="5124" max="5124" width="44.28515625" style="126" customWidth="1"/>
    <col min="5125" max="5125" width="6.140625" style="126" customWidth="1"/>
    <col min="5126" max="5126" width="7.7109375" style="126" customWidth="1"/>
    <col min="5127" max="5127" width="17" style="126" customWidth="1"/>
    <col min="5128" max="5128" width="18.140625" style="126" customWidth="1"/>
    <col min="5129" max="5378" width="11.42578125" style="126"/>
    <col min="5379" max="5379" width="6.7109375" style="126" customWidth="1"/>
    <col min="5380" max="5380" width="44.28515625" style="126" customWidth="1"/>
    <col min="5381" max="5381" width="6.140625" style="126" customWidth="1"/>
    <col min="5382" max="5382" width="7.7109375" style="126" customWidth="1"/>
    <col min="5383" max="5383" width="17" style="126" customWidth="1"/>
    <col min="5384" max="5384" width="18.140625" style="126" customWidth="1"/>
    <col min="5385" max="5634" width="11.42578125" style="126"/>
    <col min="5635" max="5635" width="6.7109375" style="126" customWidth="1"/>
    <col min="5636" max="5636" width="44.28515625" style="126" customWidth="1"/>
    <col min="5637" max="5637" width="6.140625" style="126" customWidth="1"/>
    <col min="5638" max="5638" width="7.7109375" style="126" customWidth="1"/>
    <col min="5639" max="5639" width="17" style="126" customWidth="1"/>
    <col min="5640" max="5640" width="18.140625" style="126" customWidth="1"/>
    <col min="5641" max="5890" width="11.42578125" style="126"/>
    <col min="5891" max="5891" width="6.7109375" style="126" customWidth="1"/>
    <col min="5892" max="5892" width="44.28515625" style="126" customWidth="1"/>
    <col min="5893" max="5893" width="6.140625" style="126" customWidth="1"/>
    <col min="5894" max="5894" width="7.7109375" style="126" customWidth="1"/>
    <col min="5895" max="5895" width="17" style="126" customWidth="1"/>
    <col min="5896" max="5896" width="18.140625" style="126" customWidth="1"/>
    <col min="5897" max="6146" width="11.42578125" style="126"/>
    <col min="6147" max="6147" width="6.7109375" style="126" customWidth="1"/>
    <col min="6148" max="6148" width="44.28515625" style="126" customWidth="1"/>
    <col min="6149" max="6149" width="6.140625" style="126" customWidth="1"/>
    <col min="6150" max="6150" width="7.7109375" style="126" customWidth="1"/>
    <col min="6151" max="6151" width="17" style="126" customWidth="1"/>
    <col min="6152" max="6152" width="18.140625" style="126" customWidth="1"/>
    <col min="6153" max="6402" width="11.42578125" style="126"/>
    <col min="6403" max="6403" width="6.7109375" style="126" customWidth="1"/>
    <col min="6404" max="6404" width="44.28515625" style="126" customWidth="1"/>
    <col min="6405" max="6405" width="6.140625" style="126" customWidth="1"/>
    <col min="6406" max="6406" width="7.7109375" style="126" customWidth="1"/>
    <col min="6407" max="6407" width="17" style="126" customWidth="1"/>
    <col min="6408" max="6408" width="18.140625" style="126" customWidth="1"/>
    <col min="6409" max="6658" width="11.42578125" style="126"/>
    <col min="6659" max="6659" width="6.7109375" style="126" customWidth="1"/>
    <col min="6660" max="6660" width="44.28515625" style="126" customWidth="1"/>
    <col min="6661" max="6661" width="6.140625" style="126" customWidth="1"/>
    <col min="6662" max="6662" width="7.7109375" style="126" customWidth="1"/>
    <col min="6663" max="6663" width="17" style="126" customWidth="1"/>
    <col min="6664" max="6664" width="18.140625" style="126" customWidth="1"/>
    <col min="6665" max="6914" width="11.42578125" style="126"/>
    <col min="6915" max="6915" width="6.7109375" style="126" customWidth="1"/>
    <col min="6916" max="6916" width="44.28515625" style="126" customWidth="1"/>
    <col min="6917" max="6917" width="6.140625" style="126" customWidth="1"/>
    <col min="6918" max="6918" width="7.7109375" style="126" customWidth="1"/>
    <col min="6919" max="6919" width="17" style="126" customWidth="1"/>
    <col min="6920" max="6920" width="18.140625" style="126" customWidth="1"/>
    <col min="6921" max="7170" width="11.42578125" style="126"/>
    <col min="7171" max="7171" width="6.7109375" style="126" customWidth="1"/>
    <col min="7172" max="7172" width="44.28515625" style="126" customWidth="1"/>
    <col min="7173" max="7173" width="6.140625" style="126" customWidth="1"/>
    <col min="7174" max="7174" width="7.7109375" style="126" customWidth="1"/>
    <col min="7175" max="7175" width="17" style="126" customWidth="1"/>
    <col min="7176" max="7176" width="18.140625" style="126" customWidth="1"/>
    <col min="7177" max="7426" width="11.42578125" style="126"/>
    <col min="7427" max="7427" width="6.7109375" style="126" customWidth="1"/>
    <col min="7428" max="7428" width="44.28515625" style="126" customWidth="1"/>
    <col min="7429" max="7429" width="6.140625" style="126" customWidth="1"/>
    <col min="7430" max="7430" width="7.7109375" style="126" customWidth="1"/>
    <col min="7431" max="7431" width="17" style="126" customWidth="1"/>
    <col min="7432" max="7432" width="18.140625" style="126" customWidth="1"/>
    <col min="7433" max="7682" width="11.42578125" style="126"/>
    <col min="7683" max="7683" width="6.7109375" style="126" customWidth="1"/>
    <col min="7684" max="7684" width="44.28515625" style="126" customWidth="1"/>
    <col min="7685" max="7685" width="6.140625" style="126" customWidth="1"/>
    <col min="7686" max="7686" width="7.7109375" style="126" customWidth="1"/>
    <col min="7687" max="7687" width="17" style="126" customWidth="1"/>
    <col min="7688" max="7688" width="18.140625" style="126" customWidth="1"/>
    <col min="7689" max="7938" width="11.42578125" style="126"/>
    <col min="7939" max="7939" width="6.7109375" style="126" customWidth="1"/>
    <col min="7940" max="7940" width="44.28515625" style="126" customWidth="1"/>
    <col min="7941" max="7941" width="6.140625" style="126" customWidth="1"/>
    <col min="7942" max="7942" width="7.7109375" style="126" customWidth="1"/>
    <col min="7943" max="7943" width="17" style="126" customWidth="1"/>
    <col min="7944" max="7944" width="18.140625" style="126" customWidth="1"/>
    <col min="7945" max="8194" width="11.42578125" style="126"/>
    <col min="8195" max="8195" width="6.7109375" style="126" customWidth="1"/>
    <col min="8196" max="8196" width="44.28515625" style="126" customWidth="1"/>
    <col min="8197" max="8197" width="6.140625" style="126" customWidth="1"/>
    <col min="8198" max="8198" width="7.7109375" style="126" customWidth="1"/>
    <col min="8199" max="8199" width="17" style="126" customWidth="1"/>
    <col min="8200" max="8200" width="18.140625" style="126" customWidth="1"/>
    <col min="8201" max="8450" width="11.42578125" style="126"/>
    <col min="8451" max="8451" width="6.7109375" style="126" customWidth="1"/>
    <col min="8452" max="8452" width="44.28515625" style="126" customWidth="1"/>
    <col min="8453" max="8453" width="6.140625" style="126" customWidth="1"/>
    <col min="8454" max="8454" width="7.7109375" style="126" customWidth="1"/>
    <col min="8455" max="8455" width="17" style="126" customWidth="1"/>
    <col min="8456" max="8456" width="18.140625" style="126" customWidth="1"/>
    <col min="8457" max="8706" width="11.42578125" style="126"/>
    <col min="8707" max="8707" width="6.7109375" style="126" customWidth="1"/>
    <col min="8708" max="8708" width="44.28515625" style="126" customWidth="1"/>
    <col min="8709" max="8709" width="6.140625" style="126" customWidth="1"/>
    <col min="8710" max="8710" width="7.7109375" style="126" customWidth="1"/>
    <col min="8711" max="8711" width="17" style="126" customWidth="1"/>
    <col min="8712" max="8712" width="18.140625" style="126" customWidth="1"/>
    <col min="8713" max="8962" width="11.42578125" style="126"/>
    <col min="8963" max="8963" width="6.7109375" style="126" customWidth="1"/>
    <col min="8964" max="8964" width="44.28515625" style="126" customWidth="1"/>
    <col min="8965" max="8965" width="6.140625" style="126" customWidth="1"/>
    <col min="8966" max="8966" width="7.7109375" style="126" customWidth="1"/>
    <col min="8967" max="8967" width="17" style="126" customWidth="1"/>
    <col min="8968" max="8968" width="18.140625" style="126" customWidth="1"/>
    <col min="8969" max="9218" width="11.42578125" style="126"/>
    <col min="9219" max="9219" width="6.7109375" style="126" customWidth="1"/>
    <col min="9220" max="9220" width="44.28515625" style="126" customWidth="1"/>
    <col min="9221" max="9221" width="6.140625" style="126" customWidth="1"/>
    <col min="9222" max="9222" width="7.7109375" style="126" customWidth="1"/>
    <col min="9223" max="9223" width="17" style="126" customWidth="1"/>
    <col min="9224" max="9224" width="18.140625" style="126" customWidth="1"/>
    <col min="9225" max="9474" width="11.42578125" style="126"/>
    <col min="9475" max="9475" width="6.7109375" style="126" customWidth="1"/>
    <col min="9476" max="9476" width="44.28515625" style="126" customWidth="1"/>
    <col min="9477" max="9477" width="6.140625" style="126" customWidth="1"/>
    <col min="9478" max="9478" width="7.7109375" style="126" customWidth="1"/>
    <col min="9479" max="9479" width="17" style="126" customWidth="1"/>
    <col min="9480" max="9480" width="18.140625" style="126" customWidth="1"/>
    <col min="9481" max="9730" width="11.42578125" style="126"/>
    <col min="9731" max="9731" width="6.7109375" style="126" customWidth="1"/>
    <col min="9732" max="9732" width="44.28515625" style="126" customWidth="1"/>
    <col min="9733" max="9733" width="6.140625" style="126" customWidth="1"/>
    <col min="9734" max="9734" width="7.7109375" style="126" customWidth="1"/>
    <col min="9735" max="9735" width="17" style="126" customWidth="1"/>
    <col min="9736" max="9736" width="18.140625" style="126" customWidth="1"/>
    <col min="9737" max="9986" width="11.42578125" style="126"/>
    <col min="9987" max="9987" width="6.7109375" style="126" customWidth="1"/>
    <col min="9988" max="9988" width="44.28515625" style="126" customWidth="1"/>
    <col min="9989" max="9989" width="6.140625" style="126" customWidth="1"/>
    <col min="9990" max="9990" width="7.7109375" style="126" customWidth="1"/>
    <col min="9991" max="9991" width="17" style="126" customWidth="1"/>
    <col min="9992" max="9992" width="18.140625" style="126" customWidth="1"/>
    <col min="9993" max="10242" width="11.42578125" style="126"/>
    <col min="10243" max="10243" width="6.7109375" style="126" customWidth="1"/>
    <col min="10244" max="10244" width="44.28515625" style="126" customWidth="1"/>
    <col min="10245" max="10245" width="6.140625" style="126" customWidth="1"/>
    <col min="10246" max="10246" width="7.7109375" style="126" customWidth="1"/>
    <col min="10247" max="10247" width="17" style="126" customWidth="1"/>
    <col min="10248" max="10248" width="18.140625" style="126" customWidth="1"/>
    <col min="10249" max="10498" width="11.42578125" style="126"/>
    <col min="10499" max="10499" width="6.7109375" style="126" customWidth="1"/>
    <col min="10500" max="10500" width="44.28515625" style="126" customWidth="1"/>
    <col min="10501" max="10501" width="6.140625" style="126" customWidth="1"/>
    <col min="10502" max="10502" width="7.7109375" style="126" customWidth="1"/>
    <col min="10503" max="10503" width="17" style="126" customWidth="1"/>
    <col min="10504" max="10504" width="18.140625" style="126" customWidth="1"/>
    <col min="10505" max="10754" width="11.42578125" style="126"/>
    <col min="10755" max="10755" width="6.7109375" style="126" customWidth="1"/>
    <col min="10756" max="10756" width="44.28515625" style="126" customWidth="1"/>
    <col min="10757" max="10757" width="6.140625" style="126" customWidth="1"/>
    <col min="10758" max="10758" width="7.7109375" style="126" customWidth="1"/>
    <col min="10759" max="10759" width="17" style="126" customWidth="1"/>
    <col min="10760" max="10760" width="18.140625" style="126" customWidth="1"/>
    <col min="10761" max="11010" width="11.42578125" style="126"/>
    <col min="11011" max="11011" width="6.7109375" style="126" customWidth="1"/>
    <col min="11012" max="11012" width="44.28515625" style="126" customWidth="1"/>
    <col min="11013" max="11013" width="6.140625" style="126" customWidth="1"/>
    <col min="11014" max="11014" width="7.7109375" style="126" customWidth="1"/>
    <col min="11015" max="11015" width="17" style="126" customWidth="1"/>
    <col min="11016" max="11016" width="18.140625" style="126" customWidth="1"/>
    <col min="11017" max="11266" width="11.42578125" style="126"/>
    <col min="11267" max="11267" width="6.7109375" style="126" customWidth="1"/>
    <col min="11268" max="11268" width="44.28515625" style="126" customWidth="1"/>
    <col min="11269" max="11269" width="6.140625" style="126" customWidth="1"/>
    <col min="11270" max="11270" width="7.7109375" style="126" customWidth="1"/>
    <col min="11271" max="11271" width="17" style="126" customWidth="1"/>
    <col min="11272" max="11272" width="18.140625" style="126" customWidth="1"/>
    <col min="11273" max="11522" width="11.42578125" style="126"/>
    <col min="11523" max="11523" width="6.7109375" style="126" customWidth="1"/>
    <col min="11524" max="11524" width="44.28515625" style="126" customWidth="1"/>
    <col min="11525" max="11525" width="6.140625" style="126" customWidth="1"/>
    <col min="11526" max="11526" width="7.7109375" style="126" customWidth="1"/>
    <col min="11527" max="11527" width="17" style="126" customWidth="1"/>
    <col min="11528" max="11528" width="18.140625" style="126" customWidth="1"/>
    <col min="11529" max="11778" width="11.42578125" style="126"/>
    <col min="11779" max="11779" width="6.7109375" style="126" customWidth="1"/>
    <col min="11780" max="11780" width="44.28515625" style="126" customWidth="1"/>
    <col min="11781" max="11781" width="6.140625" style="126" customWidth="1"/>
    <col min="11782" max="11782" width="7.7109375" style="126" customWidth="1"/>
    <col min="11783" max="11783" width="17" style="126" customWidth="1"/>
    <col min="11784" max="11784" width="18.140625" style="126" customWidth="1"/>
    <col min="11785" max="12034" width="11.42578125" style="126"/>
    <col min="12035" max="12035" width="6.7109375" style="126" customWidth="1"/>
    <col min="12036" max="12036" width="44.28515625" style="126" customWidth="1"/>
    <col min="12037" max="12037" width="6.140625" style="126" customWidth="1"/>
    <col min="12038" max="12038" width="7.7109375" style="126" customWidth="1"/>
    <col min="12039" max="12039" width="17" style="126" customWidth="1"/>
    <col min="12040" max="12040" width="18.140625" style="126" customWidth="1"/>
    <col min="12041" max="12290" width="11.42578125" style="126"/>
    <col min="12291" max="12291" width="6.7109375" style="126" customWidth="1"/>
    <col min="12292" max="12292" width="44.28515625" style="126" customWidth="1"/>
    <col min="12293" max="12293" width="6.140625" style="126" customWidth="1"/>
    <col min="12294" max="12294" width="7.7109375" style="126" customWidth="1"/>
    <col min="12295" max="12295" width="17" style="126" customWidth="1"/>
    <col min="12296" max="12296" width="18.140625" style="126" customWidth="1"/>
    <col min="12297" max="12546" width="11.42578125" style="126"/>
    <col min="12547" max="12547" width="6.7109375" style="126" customWidth="1"/>
    <col min="12548" max="12548" width="44.28515625" style="126" customWidth="1"/>
    <col min="12549" max="12549" width="6.140625" style="126" customWidth="1"/>
    <col min="12550" max="12550" width="7.7109375" style="126" customWidth="1"/>
    <col min="12551" max="12551" width="17" style="126" customWidth="1"/>
    <col min="12552" max="12552" width="18.140625" style="126" customWidth="1"/>
    <col min="12553" max="12802" width="11.42578125" style="126"/>
    <col min="12803" max="12803" width="6.7109375" style="126" customWidth="1"/>
    <col min="12804" max="12804" width="44.28515625" style="126" customWidth="1"/>
    <col min="12805" max="12805" width="6.140625" style="126" customWidth="1"/>
    <col min="12806" max="12806" width="7.7109375" style="126" customWidth="1"/>
    <col min="12807" max="12807" width="17" style="126" customWidth="1"/>
    <col min="12808" max="12808" width="18.140625" style="126" customWidth="1"/>
    <col min="12809" max="13058" width="11.42578125" style="126"/>
    <col min="13059" max="13059" width="6.7109375" style="126" customWidth="1"/>
    <col min="13060" max="13060" width="44.28515625" style="126" customWidth="1"/>
    <col min="13061" max="13061" width="6.140625" style="126" customWidth="1"/>
    <col min="13062" max="13062" width="7.7109375" style="126" customWidth="1"/>
    <col min="13063" max="13063" width="17" style="126" customWidth="1"/>
    <col min="13064" max="13064" width="18.140625" style="126" customWidth="1"/>
    <col min="13065" max="13314" width="11.42578125" style="126"/>
    <col min="13315" max="13315" width="6.7109375" style="126" customWidth="1"/>
    <col min="13316" max="13316" width="44.28515625" style="126" customWidth="1"/>
    <col min="13317" max="13317" width="6.140625" style="126" customWidth="1"/>
    <col min="13318" max="13318" width="7.7109375" style="126" customWidth="1"/>
    <col min="13319" max="13319" width="17" style="126" customWidth="1"/>
    <col min="13320" max="13320" width="18.140625" style="126" customWidth="1"/>
    <col min="13321" max="13570" width="11.42578125" style="126"/>
    <col min="13571" max="13571" width="6.7109375" style="126" customWidth="1"/>
    <col min="13572" max="13572" width="44.28515625" style="126" customWidth="1"/>
    <col min="13573" max="13573" width="6.140625" style="126" customWidth="1"/>
    <col min="13574" max="13574" width="7.7109375" style="126" customWidth="1"/>
    <col min="13575" max="13575" width="17" style="126" customWidth="1"/>
    <col min="13576" max="13576" width="18.140625" style="126" customWidth="1"/>
    <col min="13577" max="13826" width="11.42578125" style="126"/>
    <col min="13827" max="13827" width="6.7109375" style="126" customWidth="1"/>
    <col min="13828" max="13828" width="44.28515625" style="126" customWidth="1"/>
    <col min="13829" max="13829" width="6.140625" style="126" customWidth="1"/>
    <col min="13830" max="13830" width="7.7109375" style="126" customWidth="1"/>
    <col min="13831" max="13831" width="17" style="126" customWidth="1"/>
    <col min="13832" max="13832" width="18.140625" style="126" customWidth="1"/>
    <col min="13833" max="14082" width="11.42578125" style="126"/>
    <col min="14083" max="14083" width="6.7109375" style="126" customWidth="1"/>
    <col min="14084" max="14084" width="44.28515625" style="126" customWidth="1"/>
    <col min="14085" max="14085" width="6.140625" style="126" customWidth="1"/>
    <col min="14086" max="14086" width="7.7109375" style="126" customWidth="1"/>
    <col min="14087" max="14087" width="17" style="126" customWidth="1"/>
    <col min="14088" max="14088" width="18.140625" style="126" customWidth="1"/>
    <col min="14089" max="14338" width="11.42578125" style="126"/>
    <col min="14339" max="14339" width="6.7109375" style="126" customWidth="1"/>
    <col min="14340" max="14340" width="44.28515625" style="126" customWidth="1"/>
    <col min="14341" max="14341" width="6.140625" style="126" customWidth="1"/>
    <col min="14342" max="14342" width="7.7109375" style="126" customWidth="1"/>
    <col min="14343" max="14343" width="17" style="126" customWidth="1"/>
    <col min="14344" max="14344" width="18.140625" style="126" customWidth="1"/>
    <col min="14345" max="14594" width="11.42578125" style="126"/>
    <col min="14595" max="14595" width="6.7109375" style="126" customWidth="1"/>
    <col min="14596" max="14596" width="44.28515625" style="126" customWidth="1"/>
    <col min="14597" max="14597" width="6.140625" style="126" customWidth="1"/>
    <col min="14598" max="14598" width="7.7109375" style="126" customWidth="1"/>
    <col min="14599" max="14599" width="17" style="126" customWidth="1"/>
    <col min="14600" max="14600" width="18.140625" style="126" customWidth="1"/>
    <col min="14601" max="14850" width="11.42578125" style="126"/>
    <col min="14851" max="14851" width="6.7109375" style="126" customWidth="1"/>
    <col min="14852" max="14852" width="44.28515625" style="126" customWidth="1"/>
    <col min="14853" max="14853" width="6.140625" style="126" customWidth="1"/>
    <col min="14854" max="14854" width="7.7109375" style="126" customWidth="1"/>
    <col min="14855" max="14855" width="17" style="126" customWidth="1"/>
    <col min="14856" max="14856" width="18.140625" style="126" customWidth="1"/>
    <col min="14857" max="15106" width="11.42578125" style="126"/>
    <col min="15107" max="15107" width="6.7109375" style="126" customWidth="1"/>
    <col min="15108" max="15108" width="44.28515625" style="126" customWidth="1"/>
    <col min="15109" max="15109" width="6.140625" style="126" customWidth="1"/>
    <col min="15110" max="15110" width="7.7109375" style="126" customWidth="1"/>
    <col min="15111" max="15111" width="17" style="126" customWidth="1"/>
    <col min="15112" max="15112" width="18.140625" style="126" customWidth="1"/>
    <col min="15113" max="15362" width="11.42578125" style="126"/>
    <col min="15363" max="15363" width="6.7109375" style="126" customWidth="1"/>
    <col min="15364" max="15364" width="44.28515625" style="126" customWidth="1"/>
    <col min="15365" max="15365" width="6.140625" style="126" customWidth="1"/>
    <col min="15366" max="15366" width="7.7109375" style="126" customWidth="1"/>
    <col min="15367" max="15367" width="17" style="126" customWidth="1"/>
    <col min="15368" max="15368" width="18.140625" style="126" customWidth="1"/>
    <col min="15369" max="15618" width="11.42578125" style="126"/>
    <col min="15619" max="15619" width="6.7109375" style="126" customWidth="1"/>
    <col min="15620" max="15620" width="44.28515625" style="126" customWidth="1"/>
    <col min="15621" max="15621" width="6.140625" style="126" customWidth="1"/>
    <col min="15622" max="15622" width="7.7109375" style="126" customWidth="1"/>
    <col min="15623" max="15623" width="17" style="126" customWidth="1"/>
    <col min="15624" max="15624" width="18.140625" style="126" customWidth="1"/>
    <col min="15625" max="15874" width="11.42578125" style="126"/>
    <col min="15875" max="15875" width="6.7109375" style="126" customWidth="1"/>
    <col min="15876" max="15876" width="44.28515625" style="126" customWidth="1"/>
    <col min="15877" max="15877" width="6.140625" style="126" customWidth="1"/>
    <col min="15878" max="15878" width="7.7109375" style="126" customWidth="1"/>
    <col min="15879" max="15879" width="17" style="126" customWidth="1"/>
    <col min="15880" max="15880" width="18.140625" style="126" customWidth="1"/>
    <col min="15881" max="16130" width="11.42578125" style="126"/>
    <col min="16131" max="16131" width="6.7109375" style="126" customWidth="1"/>
    <col min="16132" max="16132" width="44.28515625" style="126" customWidth="1"/>
    <col min="16133" max="16133" width="6.140625" style="126" customWidth="1"/>
    <col min="16134" max="16134" width="7.7109375" style="126" customWidth="1"/>
    <col min="16135" max="16135" width="17" style="126" customWidth="1"/>
    <col min="16136" max="16136" width="18.140625" style="126" customWidth="1"/>
    <col min="16137" max="16384" width="11.42578125" style="126"/>
  </cols>
  <sheetData>
    <row r="1" spans="1:45" ht="13.5" customHeight="1" x14ac:dyDescent="0.2">
      <c r="A1" s="124"/>
      <c r="B1" s="185"/>
      <c r="C1" s="185"/>
      <c r="D1" s="185"/>
      <c r="E1" s="185"/>
      <c r="F1" s="185"/>
      <c r="G1" s="185"/>
      <c r="H1" s="185"/>
      <c r="I1" s="125"/>
      <c r="J1" s="125"/>
    </row>
    <row r="2" spans="1:45" ht="12" customHeight="1" x14ac:dyDescent="0.25">
      <c r="A2" s="186" t="s">
        <v>0</v>
      </c>
      <c r="B2" s="186"/>
      <c r="C2" s="186"/>
      <c r="D2" s="186"/>
      <c r="E2" s="186"/>
      <c r="F2" s="186"/>
      <c r="G2" s="186"/>
      <c r="H2" s="186"/>
      <c r="I2" s="127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</row>
    <row r="3" spans="1:45" ht="15" x14ac:dyDescent="0.25">
      <c r="A3" s="186" t="s">
        <v>82</v>
      </c>
      <c r="B3" s="186"/>
      <c r="C3" s="186"/>
      <c r="D3" s="186"/>
      <c r="E3" s="186"/>
      <c r="F3" s="186"/>
      <c r="G3" s="186"/>
      <c r="H3" s="186"/>
      <c r="I3" s="127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</row>
    <row r="4" spans="1:45" ht="12" customHeight="1" x14ac:dyDescent="0.2">
      <c r="A4" s="186" t="s">
        <v>81</v>
      </c>
      <c r="B4" s="186"/>
      <c r="C4" s="186"/>
      <c r="D4" s="186"/>
      <c r="E4" s="186"/>
      <c r="F4" s="186"/>
      <c r="G4" s="186"/>
      <c r="H4" s="186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</row>
    <row r="5" spans="1:45" ht="16.5" customHeight="1" x14ac:dyDescent="0.25">
      <c r="A5" s="186" t="s">
        <v>83</v>
      </c>
      <c r="B5" s="186"/>
      <c r="C5" s="186"/>
      <c r="D5" s="186"/>
      <c r="E5" s="186"/>
      <c r="F5" s="186"/>
      <c r="G5" s="186"/>
      <c r="H5" s="186"/>
      <c r="I5" s="129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</row>
    <row r="6" spans="1:45" ht="48.75" customHeight="1" x14ac:dyDescent="0.2">
      <c r="A6" s="184" t="s">
        <v>152</v>
      </c>
      <c r="B6" s="184"/>
      <c r="C6" s="184"/>
      <c r="D6" s="184"/>
      <c r="E6" s="184"/>
      <c r="F6" s="184"/>
      <c r="G6" s="184"/>
      <c r="H6" s="184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</row>
    <row r="7" spans="1:45" ht="15" x14ac:dyDescent="0.25">
      <c r="A7" s="130" t="s">
        <v>2</v>
      </c>
      <c r="B7" s="130" t="s">
        <v>3</v>
      </c>
      <c r="C7" s="130" t="s">
        <v>84</v>
      </c>
      <c r="D7" s="130" t="s">
        <v>15</v>
      </c>
      <c r="E7" s="130" t="s">
        <v>85</v>
      </c>
      <c r="F7" s="130" t="s">
        <v>147</v>
      </c>
      <c r="G7" s="130" t="s">
        <v>148</v>
      </c>
      <c r="H7" s="130" t="s">
        <v>86</v>
      </c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1"/>
      <c r="AR7" s="131"/>
      <c r="AS7" s="131"/>
    </row>
    <row r="8" spans="1:45" ht="18" customHeight="1" x14ac:dyDescent="0.25">
      <c r="A8" s="187" t="s">
        <v>92</v>
      </c>
      <c r="B8" s="188"/>
      <c r="C8" s="188"/>
      <c r="D8" s="188"/>
      <c r="E8" s="188"/>
      <c r="F8" s="188"/>
      <c r="G8" s="188"/>
      <c r="H8" s="189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1"/>
    </row>
    <row r="9" spans="1:45" ht="15" x14ac:dyDescent="0.25">
      <c r="A9" s="130">
        <v>1</v>
      </c>
      <c r="B9" s="178" t="s">
        <v>154</v>
      </c>
      <c r="C9" s="179"/>
      <c r="D9" s="179"/>
      <c r="E9" s="180"/>
      <c r="F9" s="161"/>
      <c r="G9" s="161"/>
      <c r="H9" s="142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1"/>
      <c r="AR9" s="131"/>
      <c r="AS9" s="131"/>
    </row>
    <row r="10" spans="1:45" ht="32.25" customHeight="1" x14ac:dyDescent="0.2">
      <c r="A10" s="150" t="s">
        <v>87</v>
      </c>
      <c r="B10" s="148" t="s">
        <v>99</v>
      </c>
      <c r="C10" s="133" t="s">
        <v>93</v>
      </c>
      <c r="D10" s="134">
        <f>4*7</f>
        <v>28</v>
      </c>
      <c r="E10" s="143">
        <f>30000+(30000*0.065)</f>
        <v>31950</v>
      </c>
      <c r="F10" s="167">
        <v>0</v>
      </c>
      <c r="G10" s="143">
        <f>E10+(E10*F10)</f>
        <v>31950</v>
      </c>
      <c r="H10" s="135">
        <f>ROUND(D10*G10,0)</f>
        <v>894600</v>
      </c>
      <c r="J10" s="132"/>
    </row>
    <row r="11" spans="1:45" ht="28.5" x14ac:dyDescent="0.2">
      <c r="A11" s="150" t="s">
        <v>90</v>
      </c>
      <c r="B11" s="148" t="s">
        <v>100</v>
      </c>
      <c r="C11" s="133" t="str">
        <f>C10</f>
        <v>m3</v>
      </c>
      <c r="D11" s="134">
        <f>4*7</f>
        <v>28</v>
      </c>
      <c r="E11" s="143">
        <f>25000+(25000*0.065)</f>
        <v>26625</v>
      </c>
      <c r="F11" s="167">
        <v>0</v>
      </c>
      <c r="G11" s="143">
        <f t="shared" ref="G11:G36" si="0">E11+(E11*F11)</f>
        <v>26625</v>
      </c>
      <c r="H11" s="135">
        <f t="shared" ref="H11:H36" si="1">ROUND(D11*G11,0)</f>
        <v>745500</v>
      </c>
      <c r="J11" s="132"/>
    </row>
    <row r="12" spans="1:45" ht="15" x14ac:dyDescent="0.25">
      <c r="A12" s="150">
        <v>2</v>
      </c>
      <c r="B12" s="178" t="s">
        <v>94</v>
      </c>
      <c r="C12" s="179"/>
      <c r="D12" s="179"/>
      <c r="E12" s="180"/>
      <c r="F12" s="161"/>
      <c r="G12" s="143"/>
      <c r="H12" s="135"/>
      <c r="J12" s="132"/>
    </row>
    <row r="13" spans="1:45" ht="42.75" x14ac:dyDescent="0.2">
      <c r="A13" s="150" t="s">
        <v>91</v>
      </c>
      <c r="B13" s="148" t="s">
        <v>102</v>
      </c>
      <c r="C13" s="133" t="s">
        <v>101</v>
      </c>
      <c r="D13" s="134">
        <v>150</v>
      </c>
      <c r="E13" s="143">
        <f>33000+(33000*0.065)</f>
        <v>35145</v>
      </c>
      <c r="F13" s="167">
        <v>0.19</v>
      </c>
      <c r="G13" s="143">
        <f t="shared" si="0"/>
        <v>41822.550000000003</v>
      </c>
      <c r="H13" s="135">
        <f t="shared" si="1"/>
        <v>6273383</v>
      </c>
      <c r="J13" s="132"/>
    </row>
    <row r="14" spans="1:45" ht="30" x14ac:dyDescent="0.2">
      <c r="A14" s="150">
        <v>3</v>
      </c>
      <c r="B14" s="153" t="s">
        <v>153</v>
      </c>
      <c r="C14" s="151"/>
      <c r="D14" s="152"/>
      <c r="E14" s="143"/>
      <c r="F14" s="143"/>
      <c r="G14" s="143"/>
      <c r="H14" s="135"/>
      <c r="J14" s="132"/>
    </row>
    <row r="15" spans="1:45" ht="28.5" x14ac:dyDescent="0.2">
      <c r="A15" s="150" t="s">
        <v>104</v>
      </c>
      <c r="B15" s="154" t="s">
        <v>146</v>
      </c>
      <c r="C15" s="133" t="s">
        <v>103</v>
      </c>
      <c r="D15" s="134">
        <v>25</v>
      </c>
      <c r="E15" s="143">
        <f>361900+(361900*0.065)</f>
        <v>385423.5</v>
      </c>
      <c r="F15" s="167">
        <v>0.19</v>
      </c>
      <c r="G15" s="143">
        <f t="shared" si="0"/>
        <v>458653.96499999997</v>
      </c>
      <c r="H15" s="135">
        <f t="shared" si="1"/>
        <v>11466349</v>
      </c>
      <c r="J15" s="132"/>
    </row>
    <row r="16" spans="1:45" ht="15" x14ac:dyDescent="0.2">
      <c r="A16" s="150" t="s">
        <v>105</v>
      </c>
      <c r="B16" s="154" t="s">
        <v>106</v>
      </c>
      <c r="C16" s="133" t="s">
        <v>103</v>
      </c>
      <c r="D16" s="134">
        <v>46</v>
      </c>
      <c r="E16" s="143">
        <f>8350+(8350*0.065)</f>
        <v>8892.75</v>
      </c>
      <c r="F16" s="167">
        <v>0.19</v>
      </c>
      <c r="G16" s="143">
        <f t="shared" si="0"/>
        <v>10582.372499999999</v>
      </c>
      <c r="H16" s="135">
        <f t="shared" si="1"/>
        <v>486789</v>
      </c>
      <c r="J16" s="132"/>
    </row>
    <row r="17" spans="1:10" ht="15" x14ac:dyDescent="0.2">
      <c r="A17" s="150" t="s">
        <v>107</v>
      </c>
      <c r="B17" s="154" t="s">
        <v>113</v>
      </c>
      <c r="C17" s="133" t="s">
        <v>103</v>
      </c>
      <c r="D17" s="134">
        <v>70</v>
      </c>
      <c r="E17" s="143">
        <f>800+(800*0.065)</f>
        <v>852</v>
      </c>
      <c r="F17" s="167">
        <v>0.19</v>
      </c>
      <c r="G17" s="143">
        <f t="shared" si="0"/>
        <v>1013.88</v>
      </c>
      <c r="H17" s="135">
        <f t="shared" si="1"/>
        <v>70972</v>
      </c>
      <c r="J17" s="132"/>
    </row>
    <row r="18" spans="1:10" ht="15" x14ac:dyDescent="0.2">
      <c r="A18" s="150" t="s">
        <v>109</v>
      </c>
      <c r="B18" s="154" t="s">
        <v>114</v>
      </c>
      <c r="C18" s="133" t="s">
        <v>103</v>
      </c>
      <c r="D18" s="134">
        <v>140</v>
      </c>
      <c r="E18" s="143">
        <f>600+(600*0.065)</f>
        <v>639</v>
      </c>
      <c r="F18" s="167">
        <v>0.19</v>
      </c>
      <c r="G18" s="143">
        <f t="shared" si="0"/>
        <v>760.41</v>
      </c>
      <c r="H18" s="135">
        <f t="shared" si="1"/>
        <v>106457</v>
      </c>
      <c r="J18" s="132"/>
    </row>
    <row r="19" spans="1:10" ht="28.5" x14ac:dyDescent="0.2">
      <c r="A19" s="150" t="s">
        <v>111</v>
      </c>
      <c r="B19" s="154" t="s">
        <v>115</v>
      </c>
      <c r="C19" s="133" t="s">
        <v>103</v>
      </c>
      <c r="D19" s="134">
        <v>95</v>
      </c>
      <c r="E19" s="143">
        <f>450+(450*0.065)</f>
        <v>479.25</v>
      </c>
      <c r="F19" s="167">
        <v>0.19</v>
      </c>
      <c r="G19" s="143">
        <f t="shared" si="0"/>
        <v>570.3075</v>
      </c>
      <c r="H19" s="135">
        <f t="shared" si="1"/>
        <v>54179</v>
      </c>
      <c r="J19" s="132"/>
    </row>
    <row r="20" spans="1:10" ht="42.75" customHeight="1" x14ac:dyDescent="0.2">
      <c r="A20" s="150" t="s">
        <v>118</v>
      </c>
      <c r="B20" s="154" t="s">
        <v>116</v>
      </c>
      <c r="C20" s="133" t="s">
        <v>103</v>
      </c>
      <c r="D20" s="134">
        <v>25</v>
      </c>
      <c r="E20" s="143">
        <f>I20+(I20*0.065)</f>
        <v>23749.5</v>
      </c>
      <c r="F20" s="167">
        <v>0.19</v>
      </c>
      <c r="G20" s="143">
        <f t="shared" si="0"/>
        <v>28261.904999999999</v>
      </c>
      <c r="H20" s="135">
        <f t="shared" si="1"/>
        <v>706548</v>
      </c>
      <c r="I20" s="169">
        <v>22300</v>
      </c>
      <c r="J20" s="132"/>
    </row>
    <row r="21" spans="1:10" ht="15" x14ac:dyDescent="0.2">
      <c r="A21" s="150" t="s">
        <v>119</v>
      </c>
      <c r="B21" s="154" t="s">
        <v>117</v>
      </c>
      <c r="C21" s="133" t="s">
        <v>103</v>
      </c>
      <c r="D21" s="134">
        <v>140</v>
      </c>
      <c r="E21" s="143">
        <f t="shared" ref="E21:E29" si="2">I21+(I21*0.065)</f>
        <v>426</v>
      </c>
      <c r="F21" s="167">
        <v>0.19</v>
      </c>
      <c r="G21" s="143">
        <f t="shared" si="0"/>
        <v>506.94</v>
      </c>
      <c r="H21" s="135">
        <f t="shared" si="1"/>
        <v>70972</v>
      </c>
      <c r="I21" s="169">
        <v>400</v>
      </c>
      <c r="J21" s="132"/>
    </row>
    <row r="22" spans="1:10" ht="15" x14ac:dyDescent="0.2">
      <c r="A22" s="150" t="s">
        <v>120</v>
      </c>
      <c r="B22" s="154" t="s">
        <v>108</v>
      </c>
      <c r="C22" s="133" t="s">
        <v>103</v>
      </c>
      <c r="D22" s="134">
        <v>18</v>
      </c>
      <c r="E22" s="143">
        <f t="shared" si="2"/>
        <v>79768.5</v>
      </c>
      <c r="F22" s="167">
        <v>0.19</v>
      </c>
      <c r="G22" s="143">
        <f t="shared" si="0"/>
        <v>94924.514999999999</v>
      </c>
      <c r="H22" s="135">
        <f t="shared" si="1"/>
        <v>1708641</v>
      </c>
      <c r="I22" s="169">
        <v>74900</v>
      </c>
      <c r="J22" s="132"/>
    </row>
    <row r="23" spans="1:10" ht="15" x14ac:dyDescent="0.2">
      <c r="A23" s="150" t="s">
        <v>121</v>
      </c>
      <c r="B23" s="154" t="s">
        <v>110</v>
      </c>
      <c r="C23" s="133" t="s">
        <v>103</v>
      </c>
      <c r="D23" s="134">
        <v>30</v>
      </c>
      <c r="E23" s="143">
        <f t="shared" si="2"/>
        <v>6603</v>
      </c>
      <c r="F23" s="167">
        <v>0.19</v>
      </c>
      <c r="G23" s="143">
        <f t="shared" si="0"/>
        <v>7857.57</v>
      </c>
      <c r="H23" s="135">
        <f t="shared" si="1"/>
        <v>235727</v>
      </c>
      <c r="I23" s="169">
        <v>6200</v>
      </c>
      <c r="J23" s="132"/>
    </row>
    <row r="24" spans="1:10" ht="15" x14ac:dyDescent="0.2">
      <c r="A24" s="150" t="s">
        <v>122</v>
      </c>
      <c r="B24" s="154" t="s">
        <v>112</v>
      </c>
      <c r="C24" s="133" t="s">
        <v>103</v>
      </c>
      <c r="D24" s="134">
        <v>30</v>
      </c>
      <c r="E24" s="143">
        <f t="shared" si="2"/>
        <v>2982</v>
      </c>
      <c r="F24" s="167">
        <v>0.19</v>
      </c>
      <c r="G24" s="143">
        <f t="shared" si="0"/>
        <v>3548.58</v>
      </c>
      <c r="H24" s="135">
        <f t="shared" si="1"/>
        <v>106457</v>
      </c>
      <c r="I24" s="169">
        <v>2800</v>
      </c>
      <c r="J24" s="132"/>
    </row>
    <row r="25" spans="1:10" ht="15" x14ac:dyDescent="0.2">
      <c r="A25" s="150" t="s">
        <v>128</v>
      </c>
      <c r="B25" s="154" t="s">
        <v>145</v>
      </c>
      <c r="C25" s="133" t="s">
        <v>103</v>
      </c>
      <c r="D25" s="170">
        <v>0.97453818318185192</v>
      </c>
      <c r="E25" s="143">
        <f t="shared" si="2"/>
        <v>94678.5</v>
      </c>
      <c r="F25" s="167">
        <v>0.19</v>
      </c>
      <c r="G25" s="143">
        <f t="shared" si="0"/>
        <v>112667.41500000001</v>
      </c>
      <c r="H25" s="135">
        <f t="shared" si="1"/>
        <v>109799</v>
      </c>
      <c r="I25" s="169">
        <v>88900</v>
      </c>
      <c r="J25" s="132"/>
    </row>
    <row r="26" spans="1:10" ht="14.45" customHeight="1" x14ac:dyDescent="0.2">
      <c r="A26" s="150" t="s">
        <v>129</v>
      </c>
      <c r="B26" s="154" t="s">
        <v>123</v>
      </c>
      <c r="C26" s="133" t="s">
        <v>103</v>
      </c>
      <c r="D26" s="134">
        <v>25</v>
      </c>
      <c r="E26" s="143">
        <f t="shared" si="2"/>
        <v>2609.25</v>
      </c>
      <c r="F26" s="167">
        <v>0.19</v>
      </c>
      <c r="G26" s="143">
        <f t="shared" si="0"/>
        <v>3105.0075000000002</v>
      </c>
      <c r="H26" s="135">
        <f t="shared" si="1"/>
        <v>77625</v>
      </c>
      <c r="I26" s="169">
        <v>2450</v>
      </c>
      <c r="J26" s="132"/>
    </row>
    <row r="27" spans="1:10" ht="14.45" customHeight="1" x14ac:dyDescent="0.2">
      <c r="A27" s="150" t="s">
        <v>130</v>
      </c>
      <c r="B27" s="154" t="s">
        <v>124</v>
      </c>
      <c r="C27" s="133" t="s">
        <v>103</v>
      </c>
      <c r="D27" s="134">
        <v>25</v>
      </c>
      <c r="E27" s="143">
        <f t="shared" si="2"/>
        <v>4792.5</v>
      </c>
      <c r="F27" s="167">
        <v>0.19</v>
      </c>
      <c r="G27" s="143">
        <f t="shared" si="0"/>
        <v>5703.0749999999998</v>
      </c>
      <c r="H27" s="135">
        <f t="shared" si="1"/>
        <v>142577</v>
      </c>
      <c r="I27" s="169">
        <v>4500</v>
      </c>
      <c r="J27" s="132"/>
    </row>
    <row r="28" spans="1:10" ht="14.45" customHeight="1" x14ac:dyDescent="0.2">
      <c r="A28" s="150" t="s">
        <v>131</v>
      </c>
      <c r="B28" s="154" t="s">
        <v>125</v>
      </c>
      <c r="C28" s="133" t="s">
        <v>103</v>
      </c>
      <c r="D28" s="134">
        <v>15</v>
      </c>
      <c r="E28" s="143">
        <f t="shared" si="2"/>
        <v>45688.5</v>
      </c>
      <c r="F28" s="167">
        <v>0.19</v>
      </c>
      <c r="G28" s="143">
        <f t="shared" si="0"/>
        <v>54369.315000000002</v>
      </c>
      <c r="H28" s="135">
        <f t="shared" si="1"/>
        <v>815540</v>
      </c>
      <c r="I28" s="169">
        <v>42900</v>
      </c>
      <c r="J28" s="132"/>
    </row>
    <row r="29" spans="1:10" ht="15" x14ac:dyDescent="0.2">
      <c r="A29" s="150" t="s">
        <v>132</v>
      </c>
      <c r="B29" s="154" t="s">
        <v>126</v>
      </c>
      <c r="C29" s="133" t="s">
        <v>103</v>
      </c>
      <c r="D29" s="134">
        <v>25</v>
      </c>
      <c r="E29" s="143">
        <f t="shared" si="2"/>
        <v>12673.5</v>
      </c>
      <c r="F29" s="167">
        <v>0.19</v>
      </c>
      <c r="G29" s="143">
        <f t="shared" si="0"/>
        <v>15081.465</v>
      </c>
      <c r="H29" s="135">
        <f t="shared" si="1"/>
        <v>377037</v>
      </c>
      <c r="I29" s="169">
        <v>11900</v>
      </c>
      <c r="J29" s="132"/>
    </row>
    <row r="30" spans="1:10" ht="15" x14ac:dyDescent="0.2">
      <c r="A30" s="150" t="s">
        <v>133</v>
      </c>
      <c r="B30" s="154" t="s">
        <v>127</v>
      </c>
      <c r="C30" s="133" t="s">
        <v>103</v>
      </c>
      <c r="D30" s="134">
        <v>25</v>
      </c>
      <c r="E30" s="143">
        <f>I30+(I30*0.065)</f>
        <v>20128.5</v>
      </c>
      <c r="F30" s="167">
        <v>0.19</v>
      </c>
      <c r="G30" s="143">
        <f t="shared" si="0"/>
        <v>23952.915000000001</v>
      </c>
      <c r="H30" s="135">
        <f t="shared" si="1"/>
        <v>598823</v>
      </c>
      <c r="I30" s="169">
        <v>18900</v>
      </c>
      <c r="J30" s="132"/>
    </row>
    <row r="31" spans="1:10" ht="17.25" customHeight="1" x14ac:dyDescent="0.2">
      <c r="A31" s="150">
        <v>4</v>
      </c>
      <c r="B31" s="181" t="s">
        <v>137</v>
      </c>
      <c r="C31" s="182"/>
      <c r="D31" s="182"/>
      <c r="E31" s="183"/>
      <c r="F31" s="162"/>
      <c r="G31" s="143"/>
      <c r="H31" s="135"/>
      <c r="I31" s="169"/>
      <c r="J31" s="132"/>
    </row>
    <row r="32" spans="1:10" ht="28.5" x14ac:dyDescent="0.2">
      <c r="A32" s="150" t="s">
        <v>139</v>
      </c>
      <c r="B32" s="154" t="s">
        <v>144</v>
      </c>
      <c r="C32" s="133" t="s">
        <v>95</v>
      </c>
      <c r="D32" s="134">
        <f>2*25</f>
        <v>50</v>
      </c>
      <c r="E32" s="143">
        <f>I32+(I32*0.065)</f>
        <v>44517</v>
      </c>
      <c r="F32" s="167">
        <v>0.19</v>
      </c>
      <c r="G32" s="143">
        <f t="shared" si="0"/>
        <v>52975.229999999996</v>
      </c>
      <c r="H32" s="135">
        <f t="shared" si="1"/>
        <v>2648762</v>
      </c>
      <c r="I32" s="169">
        <v>41800</v>
      </c>
      <c r="J32" s="132"/>
    </row>
    <row r="33" spans="1:10" ht="15" x14ac:dyDescent="0.2">
      <c r="A33" s="150" t="s">
        <v>140</v>
      </c>
      <c r="B33" s="159" t="s">
        <v>138</v>
      </c>
      <c r="C33" s="133" t="s">
        <v>103</v>
      </c>
      <c r="D33" s="134">
        <v>40</v>
      </c>
      <c r="E33" s="143">
        <f t="shared" ref="E33:E36" si="3">I33+(I33*0.065)</f>
        <v>85839</v>
      </c>
      <c r="F33" s="167">
        <v>0.19</v>
      </c>
      <c r="G33" s="143">
        <f t="shared" si="0"/>
        <v>102148.41</v>
      </c>
      <c r="H33" s="135">
        <f t="shared" si="1"/>
        <v>4085936</v>
      </c>
      <c r="I33" s="169">
        <v>80600</v>
      </c>
      <c r="J33" s="132"/>
    </row>
    <row r="34" spans="1:10" ht="15" x14ac:dyDescent="0.2">
      <c r="A34" s="150" t="s">
        <v>141</v>
      </c>
      <c r="B34" s="159" t="s">
        <v>134</v>
      </c>
      <c r="C34" s="133" t="s">
        <v>103</v>
      </c>
      <c r="D34" s="134">
        <v>10</v>
      </c>
      <c r="E34" s="143">
        <f t="shared" si="3"/>
        <v>5325</v>
      </c>
      <c r="F34" s="167">
        <v>0.19</v>
      </c>
      <c r="G34" s="143">
        <f t="shared" si="0"/>
        <v>6336.75</v>
      </c>
      <c r="H34" s="135">
        <f t="shared" si="1"/>
        <v>63368</v>
      </c>
      <c r="I34" s="169">
        <v>5000</v>
      </c>
      <c r="J34" s="132"/>
    </row>
    <row r="35" spans="1:10" ht="15" x14ac:dyDescent="0.2">
      <c r="A35" s="150" t="s">
        <v>142</v>
      </c>
      <c r="B35" s="159" t="s">
        <v>135</v>
      </c>
      <c r="C35" s="133" t="s">
        <v>103</v>
      </c>
      <c r="D35" s="134">
        <v>7</v>
      </c>
      <c r="E35" s="143">
        <f t="shared" si="3"/>
        <v>7348.5</v>
      </c>
      <c r="F35" s="167">
        <v>0.19</v>
      </c>
      <c r="G35" s="143">
        <f t="shared" si="0"/>
        <v>8744.7150000000001</v>
      </c>
      <c r="H35" s="135">
        <f t="shared" si="1"/>
        <v>61213</v>
      </c>
      <c r="I35" s="169">
        <v>6900</v>
      </c>
      <c r="J35" s="132"/>
    </row>
    <row r="36" spans="1:10" ht="15" x14ac:dyDescent="0.2">
      <c r="A36" s="150" t="s">
        <v>143</v>
      </c>
      <c r="B36" s="159" t="s">
        <v>136</v>
      </c>
      <c r="C36" s="133" t="s">
        <v>103</v>
      </c>
      <c r="D36" s="134">
        <v>4</v>
      </c>
      <c r="E36" s="143">
        <f t="shared" si="3"/>
        <v>10650</v>
      </c>
      <c r="F36" s="167">
        <v>0.19</v>
      </c>
      <c r="G36" s="143">
        <f t="shared" si="0"/>
        <v>12673.5</v>
      </c>
      <c r="H36" s="135">
        <f t="shared" si="1"/>
        <v>50694</v>
      </c>
      <c r="I36" s="169">
        <v>10000</v>
      </c>
      <c r="J36" s="132"/>
    </row>
    <row r="37" spans="1:10" ht="15" x14ac:dyDescent="0.2">
      <c r="A37" s="150"/>
      <c r="B37" s="154"/>
      <c r="C37" s="151"/>
      <c r="D37" s="152"/>
      <c r="E37" s="160"/>
      <c r="F37" s="165"/>
      <c r="G37" s="165"/>
      <c r="H37" s="149"/>
      <c r="J37" s="132"/>
    </row>
    <row r="38" spans="1:10" ht="14.25" customHeight="1" x14ac:dyDescent="0.2">
      <c r="A38" s="156"/>
      <c r="B38" s="175" t="s">
        <v>88</v>
      </c>
      <c r="C38" s="176"/>
      <c r="D38" s="176"/>
      <c r="E38" s="177"/>
      <c r="F38" s="166"/>
      <c r="G38" s="168"/>
      <c r="H38" s="145">
        <f>SUM(H10:H36)</f>
        <v>31957948</v>
      </c>
    </row>
    <row r="39" spans="1:10" ht="14.25" customHeight="1" x14ac:dyDescent="0.25">
      <c r="A39" s="157"/>
      <c r="B39" s="171" t="s">
        <v>149</v>
      </c>
      <c r="C39" s="172"/>
      <c r="D39" s="172"/>
      <c r="E39" s="173"/>
      <c r="F39" s="163"/>
      <c r="G39" s="163"/>
      <c r="H39" s="146">
        <f>SUM(H38:H38)</f>
        <v>31957948</v>
      </c>
    </row>
    <row r="40" spans="1:10" ht="12.75" customHeight="1" x14ac:dyDescent="0.2">
      <c r="A40" s="174"/>
      <c r="B40" s="174"/>
      <c r="C40" s="174"/>
      <c r="D40" s="174"/>
      <c r="E40" s="174"/>
      <c r="F40" s="174"/>
      <c r="G40" s="174"/>
      <c r="H40" s="174"/>
    </row>
    <row r="41" spans="1:10" x14ac:dyDescent="0.2">
      <c r="A41" s="155"/>
      <c r="B41" s="137"/>
      <c r="C41" s="136"/>
      <c r="D41" s="138"/>
      <c r="E41" s="136"/>
      <c r="F41" s="164"/>
      <c r="G41" s="164"/>
      <c r="H41" s="139"/>
    </row>
    <row r="42" spans="1:10" x14ac:dyDescent="0.2">
      <c r="A42" s="155"/>
      <c r="B42" s="137"/>
      <c r="C42" s="147"/>
      <c r="D42" s="138"/>
      <c r="E42" s="147"/>
      <c r="F42" s="164"/>
      <c r="G42" s="164"/>
      <c r="H42" s="139"/>
    </row>
    <row r="43" spans="1:10" x14ac:dyDescent="0.2">
      <c r="B43" s="158"/>
      <c r="D43" s="140"/>
    </row>
    <row r="44" spans="1:10" ht="15.75" x14ac:dyDescent="0.25">
      <c r="B44" s="129" t="s">
        <v>151</v>
      </c>
      <c r="D44" s="140"/>
    </row>
    <row r="45" spans="1:10" ht="16.5" customHeight="1" x14ac:dyDescent="0.2">
      <c r="B45" s="144" t="s">
        <v>150</v>
      </c>
      <c r="D45" s="140"/>
    </row>
    <row r="46" spans="1:10" x14ac:dyDescent="0.2">
      <c r="B46" s="128"/>
      <c r="D46" s="140"/>
    </row>
    <row r="47" spans="1:10" x14ac:dyDescent="0.2">
      <c r="B47" s="128"/>
      <c r="D47" s="140"/>
    </row>
    <row r="48" spans="1:10" x14ac:dyDescent="0.2">
      <c r="B48" s="128"/>
      <c r="D48" s="140"/>
    </row>
    <row r="49" spans="4:4" x14ac:dyDescent="0.2">
      <c r="D49" s="140"/>
    </row>
    <row r="50" spans="4:4" x14ac:dyDescent="0.2">
      <c r="D50" s="140"/>
    </row>
    <row r="51" spans="4:4" x14ac:dyDescent="0.2">
      <c r="D51" s="140"/>
    </row>
    <row r="52" spans="4:4" x14ac:dyDescent="0.2">
      <c r="D52" s="140"/>
    </row>
    <row r="53" spans="4:4" x14ac:dyDescent="0.2">
      <c r="D53" s="140"/>
    </row>
    <row r="54" spans="4:4" x14ac:dyDescent="0.2">
      <c r="D54" s="140"/>
    </row>
    <row r="55" spans="4:4" x14ac:dyDescent="0.2">
      <c r="D55" s="140"/>
    </row>
    <row r="56" spans="4:4" x14ac:dyDescent="0.2">
      <c r="D56" s="140"/>
    </row>
    <row r="57" spans="4:4" x14ac:dyDescent="0.2">
      <c r="D57" s="140"/>
    </row>
    <row r="58" spans="4:4" x14ac:dyDescent="0.2">
      <c r="D58" s="140"/>
    </row>
    <row r="59" spans="4:4" x14ac:dyDescent="0.2">
      <c r="D59" s="140"/>
    </row>
    <row r="60" spans="4:4" x14ac:dyDescent="0.2">
      <c r="D60" s="140"/>
    </row>
    <row r="61" spans="4:4" x14ac:dyDescent="0.2">
      <c r="D61" s="140"/>
    </row>
    <row r="62" spans="4:4" x14ac:dyDescent="0.2">
      <c r="D62" s="140"/>
    </row>
    <row r="63" spans="4:4" x14ac:dyDescent="0.2">
      <c r="D63" s="140"/>
    </row>
    <row r="64" spans="4:4" x14ac:dyDescent="0.2">
      <c r="D64" s="140"/>
    </row>
    <row r="65" spans="4:4" x14ac:dyDescent="0.2">
      <c r="D65" s="140"/>
    </row>
    <row r="66" spans="4:4" x14ac:dyDescent="0.2">
      <c r="D66" s="140"/>
    </row>
    <row r="67" spans="4:4" x14ac:dyDescent="0.2">
      <c r="D67" s="140"/>
    </row>
    <row r="68" spans="4:4" x14ac:dyDescent="0.2">
      <c r="D68" s="140"/>
    </row>
    <row r="69" spans="4:4" x14ac:dyDescent="0.2">
      <c r="D69" s="140"/>
    </row>
    <row r="70" spans="4:4" x14ac:dyDescent="0.2">
      <c r="D70" s="140"/>
    </row>
  </sheetData>
  <mergeCells count="13">
    <mergeCell ref="A6:H6"/>
    <mergeCell ref="B9:E9"/>
    <mergeCell ref="B1:H1"/>
    <mergeCell ref="A2:H2"/>
    <mergeCell ref="A3:H3"/>
    <mergeCell ref="A4:H4"/>
    <mergeCell ref="A5:H5"/>
    <mergeCell ref="A8:H8"/>
    <mergeCell ref="B39:E39"/>
    <mergeCell ref="A40:H40"/>
    <mergeCell ref="B38:E38"/>
    <mergeCell ref="B12:E12"/>
    <mergeCell ref="B31:E31"/>
  </mergeCells>
  <phoneticPr fontId="15" type="noConversion"/>
  <printOptions horizontalCentered="1"/>
  <pageMargins left="0.39370078740157483" right="0.39370078740157483" top="0.59055118110236227" bottom="0.78740157480314965" header="0" footer="0"/>
  <pageSetup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38:A339"/>
  <sheetViews>
    <sheetView topLeftCell="A392" zoomScale="90" zoomScaleNormal="90" workbookViewId="0">
      <selection activeCell="L439" sqref="L439"/>
    </sheetView>
  </sheetViews>
  <sheetFormatPr baseColWidth="10" defaultRowHeight="15" x14ac:dyDescent="0.25"/>
  <sheetData>
    <row r="338" ht="9.6" customHeight="1" x14ac:dyDescent="0.25"/>
    <row r="33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J47"/>
  <sheetViews>
    <sheetView view="pageBreakPreview" topLeftCell="A13" zoomScale="95" zoomScaleNormal="100" zoomScaleSheetLayoutView="95" workbookViewId="0">
      <selection activeCell="C52" sqref="C52"/>
    </sheetView>
  </sheetViews>
  <sheetFormatPr baseColWidth="10" defaultColWidth="11.42578125" defaultRowHeight="15" x14ac:dyDescent="0.2"/>
  <cols>
    <col min="1" max="1" width="4.5703125" style="65" customWidth="1"/>
    <col min="2" max="2" width="5.7109375" style="65" customWidth="1"/>
    <col min="3" max="3" width="28.42578125" style="65" customWidth="1"/>
    <col min="4" max="4" width="7.7109375" style="65" customWidth="1"/>
    <col min="5" max="5" width="10" style="65" customWidth="1"/>
    <col min="6" max="6" width="13.28515625" style="65" bestFit="1" customWidth="1"/>
    <col min="7" max="7" width="7" style="65" customWidth="1"/>
    <col min="8" max="8" width="12.7109375" style="65" bestFit="1" customWidth="1"/>
    <col min="9" max="9" width="17.7109375" style="65" customWidth="1"/>
    <col min="10" max="10" width="16.42578125" style="65" customWidth="1"/>
    <col min="11" max="16384" width="11.42578125" style="65"/>
  </cols>
  <sheetData>
    <row r="1" spans="1:10" x14ac:dyDescent="0.2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 x14ac:dyDescent="0.2">
      <c r="A2" s="195" t="s">
        <v>1</v>
      </c>
      <c r="B2" s="195"/>
      <c r="C2" s="195"/>
      <c r="D2" s="195"/>
      <c r="E2" s="195"/>
      <c r="F2" s="195"/>
      <c r="G2" s="195"/>
      <c r="H2" s="195"/>
      <c r="I2" s="195"/>
      <c r="J2" s="195"/>
    </row>
    <row r="3" spans="1:10" x14ac:dyDescent="0.2">
      <c r="A3" s="195" t="s">
        <v>81</v>
      </c>
      <c r="B3" s="195"/>
      <c r="C3" s="195"/>
      <c r="D3" s="195"/>
      <c r="E3" s="195"/>
      <c r="F3" s="195"/>
      <c r="G3" s="195"/>
      <c r="H3" s="195"/>
      <c r="I3" s="195"/>
      <c r="J3" s="195"/>
    </row>
    <row r="4" spans="1:10" x14ac:dyDescent="0.2">
      <c r="A4" s="195" t="s">
        <v>89</v>
      </c>
      <c r="B4" s="195"/>
      <c r="C4" s="195"/>
      <c r="D4" s="195"/>
      <c r="E4" s="195"/>
      <c r="F4" s="195"/>
      <c r="G4" s="195"/>
      <c r="H4" s="195"/>
      <c r="I4" s="195"/>
      <c r="J4" s="195"/>
    </row>
    <row r="5" spans="1:10" ht="32.25" customHeight="1" x14ac:dyDescent="0.2">
      <c r="A5" s="196" t="str">
        <f>PRESUPUESTO!A6</f>
        <v>OBJETO: SUMINISTRO DE MATERIALES PARA EL MEJORAMIENTO DE VIVIENDAS MEDIANTE LA CONSTRUCCION DE BAÑOS EN LA VEREDA LA UNION DEL MUNICIPIO DE CAUCASIA.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ht="18" customHeight="1" x14ac:dyDescent="0.2">
      <c r="A6" s="197" t="s">
        <v>80</v>
      </c>
      <c r="B6" s="197"/>
      <c r="C6" s="197"/>
      <c r="D6" s="197"/>
      <c r="E6" s="197"/>
      <c r="F6" s="197"/>
      <c r="G6" s="197"/>
      <c r="H6" s="197"/>
      <c r="I6" s="197"/>
      <c r="J6" s="197"/>
    </row>
    <row r="7" spans="1:10" ht="4.5" customHeight="1" x14ac:dyDescent="0.2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6.5" thickBot="1" x14ac:dyDescent="0.3">
      <c r="A8" s="66"/>
      <c r="B8" s="67"/>
      <c r="C8" s="67"/>
      <c r="D8" s="67"/>
      <c r="E8" s="66"/>
      <c r="F8" s="66"/>
      <c r="G8" s="67" t="s">
        <v>77</v>
      </c>
      <c r="H8" s="67"/>
      <c r="I8" s="63"/>
      <c r="J8" s="64">
        <f>PRESUPUESTO!$H$38</f>
        <v>31957948</v>
      </c>
    </row>
    <row r="9" spans="1:10" ht="15.75" x14ac:dyDescent="0.25">
      <c r="A9" s="68"/>
      <c r="B9" s="69" t="s">
        <v>3</v>
      </c>
      <c r="C9" s="70"/>
      <c r="D9" s="71" t="s">
        <v>76</v>
      </c>
      <c r="E9" s="71" t="s">
        <v>75</v>
      </c>
      <c r="F9" s="71" t="s">
        <v>72</v>
      </c>
      <c r="G9" s="71" t="s">
        <v>74</v>
      </c>
      <c r="H9" s="71" t="s">
        <v>36</v>
      </c>
      <c r="I9" s="71" t="s">
        <v>36</v>
      </c>
      <c r="J9" s="72" t="s">
        <v>31</v>
      </c>
    </row>
    <row r="10" spans="1:10" ht="15.75" x14ac:dyDescent="0.25">
      <c r="A10" s="73"/>
      <c r="B10" s="74"/>
      <c r="C10" s="75"/>
      <c r="D10" s="76"/>
      <c r="E10" s="77" t="s">
        <v>73</v>
      </c>
      <c r="F10" s="76"/>
      <c r="G10" s="76"/>
      <c r="H10" s="77" t="s">
        <v>72</v>
      </c>
      <c r="I10" s="76"/>
      <c r="J10" s="78"/>
    </row>
    <row r="11" spans="1:10" ht="15.75" x14ac:dyDescent="0.25">
      <c r="A11" s="79">
        <v>1</v>
      </c>
      <c r="B11" s="190" t="s">
        <v>71</v>
      </c>
      <c r="C11" s="191"/>
      <c r="D11" s="80"/>
      <c r="E11" s="80"/>
      <c r="F11" s="80"/>
      <c r="G11" s="80"/>
      <c r="H11" s="80"/>
      <c r="I11" s="81">
        <f>SUM(I12:I12)</f>
        <v>0</v>
      </c>
      <c r="J11" s="82">
        <f>I11/J8</f>
        <v>0</v>
      </c>
    </row>
    <row r="12" spans="1:10" ht="15.75" x14ac:dyDescent="0.25">
      <c r="A12" s="73"/>
      <c r="B12" s="83" t="s">
        <v>70</v>
      </c>
      <c r="C12" s="84"/>
      <c r="D12" s="80"/>
      <c r="E12" s="80"/>
      <c r="F12" s="85"/>
      <c r="G12" s="85"/>
      <c r="H12" s="86"/>
      <c r="I12" s="87"/>
      <c r="J12" s="82"/>
    </row>
    <row r="13" spans="1:10" ht="15.75" x14ac:dyDescent="0.25">
      <c r="A13" s="88">
        <v>2</v>
      </c>
      <c r="B13" s="190" t="s">
        <v>69</v>
      </c>
      <c r="C13" s="191"/>
      <c r="D13" s="80"/>
      <c r="E13" s="80"/>
      <c r="F13" s="80"/>
      <c r="G13" s="85"/>
      <c r="H13" s="86"/>
      <c r="I13" s="89">
        <f>SUM(H14:H15)</f>
        <v>0</v>
      </c>
      <c r="J13" s="90">
        <f>+I13/J8</f>
        <v>0</v>
      </c>
    </row>
    <row r="14" spans="1:10" ht="15.75" x14ac:dyDescent="0.25">
      <c r="A14" s="91"/>
      <c r="B14" s="83" t="s">
        <v>96</v>
      </c>
      <c r="C14" s="92"/>
      <c r="D14" s="93"/>
      <c r="E14" s="93"/>
      <c r="F14" s="85"/>
      <c r="G14" s="80"/>
      <c r="H14" s="86"/>
      <c r="I14" s="94"/>
      <c r="J14" s="95"/>
    </row>
    <row r="15" spans="1:10" ht="15.75" x14ac:dyDescent="0.25">
      <c r="A15" s="91"/>
      <c r="B15" s="83" t="s">
        <v>79</v>
      </c>
      <c r="C15" s="92"/>
      <c r="D15" s="93"/>
      <c r="E15" s="93"/>
      <c r="F15" s="85"/>
      <c r="G15" s="80"/>
      <c r="H15" s="86"/>
      <c r="I15" s="94"/>
      <c r="J15" s="95"/>
    </row>
    <row r="16" spans="1:10" ht="15.75" x14ac:dyDescent="0.25">
      <c r="A16" s="91"/>
      <c r="B16" s="83" t="s">
        <v>68</v>
      </c>
      <c r="C16" s="92"/>
      <c r="D16" s="93"/>
      <c r="E16" s="93"/>
      <c r="F16" s="85"/>
      <c r="G16" s="80"/>
      <c r="H16" s="86"/>
      <c r="I16" s="94"/>
      <c r="J16" s="95"/>
    </row>
    <row r="17" spans="1:10" ht="15.75" x14ac:dyDescent="0.25">
      <c r="A17" s="73"/>
      <c r="B17" s="83"/>
      <c r="C17" s="92"/>
      <c r="D17" s="93"/>
      <c r="E17" s="93"/>
      <c r="F17" s="85"/>
      <c r="G17" s="80"/>
      <c r="H17" s="86"/>
      <c r="I17" s="94"/>
      <c r="J17" s="95"/>
    </row>
    <row r="18" spans="1:10" ht="19.899999999999999" customHeight="1" x14ac:dyDescent="0.25">
      <c r="A18" s="88">
        <v>3</v>
      </c>
      <c r="B18" s="192" t="s">
        <v>67</v>
      </c>
      <c r="C18" s="193"/>
      <c r="D18" s="193"/>
      <c r="E18" s="193"/>
      <c r="F18" s="193"/>
      <c r="G18" s="193"/>
      <c r="H18" s="194"/>
      <c r="I18" s="89">
        <f>SUM(I19:I19)</f>
        <v>0</v>
      </c>
      <c r="J18" s="96">
        <f>I18/J8</f>
        <v>0</v>
      </c>
    </row>
    <row r="19" spans="1:10" ht="18" customHeight="1" x14ac:dyDescent="0.25">
      <c r="A19" s="97"/>
      <c r="B19" s="208" t="s">
        <v>66</v>
      </c>
      <c r="C19" s="209"/>
      <c r="D19" s="80"/>
      <c r="E19" s="80"/>
      <c r="F19" s="80"/>
      <c r="G19" s="85"/>
      <c r="H19" s="86"/>
      <c r="I19" s="87"/>
      <c r="J19" s="96"/>
    </row>
    <row r="20" spans="1:10" ht="15.75" x14ac:dyDescent="0.2">
      <c r="A20" s="88">
        <v>4</v>
      </c>
      <c r="B20" s="210" t="s">
        <v>65</v>
      </c>
      <c r="C20" s="211"/>
      <c r="D20" s="80"/>
      <c r="E20" s="80"/>
      <c r="F20" s="80"/>
      <c r="G20" s="85"/>
      <c r="H20" s="86"/>
      <c r="I20" s="89">
        <f>SUM(H21:H22)</f>
        <v>0</v>
      </c>
      <c r="J20" s="90">
        <f>I20/J8</f>
        <v>0</v>
      </c>
    </row>
    <row r="21" spans="1:10" ht="15.75" x14ac:dyDescent="0.25">
      <c r="A21" s="91"/>
      <c r="B21" s="198" t="s">
        <v>64</v>
      </c>
      <c r="C21" s="199"/>
      <c r="D21" s="93"/>
      <c r="E21" s="93"/>
      <c r="F21" s="85"/>
      <c r="G21" s="80"/>
      <c r="H21" s="86"/>
      <c r="I21" s="94"/>
      <c r="J21" s="95"/>
    </row>
    <row r="22" spans="1:10" ht="15.75" x14ac:dyDescent="0.25">
      <c r="A22" s="73"/>
      <c r="B22" s="83"/>
      <c r="C22" s="92"/>
      <c r="D22" s="80"/>
      <c r="E22" s="80"/>
      <c r="F22" s="86"/>
      <c r="G22" s="85"/>
      <c r="H22" s="86"/>
      <c r="I22" s="94"/>
      <c r="J22" s="95"/>
    </row>
    <row r="23" spans="1:10" ht="15.75" x14ac:dyDescent="0.25">
      <c r="A23" s="88">
        <v>5</v>
      </c>
      <c r="B23" s="212" t="s">
        <v>63</v>
      </c>
      <c r="C23" s="213"/>
      <c r="D23" s="80"/>
      <c r="E23" s="80"/>
      <c r="F23" s="80"/>
      <c r="G23" s="80"/>
      <c r="H23" s="86"/>
      <c r="I23" s="98">
        <f>H24+H25</f>
        <v>0</v>
      </c>
      <c r="J23" s="96">
        <f>I23/J8</f>
        <v>0</v>
      </c>
    </row>
    <row r="24" spans="1:10" ht="15.75" x14ac:dyDescent="0.25">
      <c r="A24" s="91"/>
      <c r="B24" s="198" t="s">
        <v>62</v>
      </c>
      <c r="C24" s="199"/>
      <c r="D24" s="93"/>
      <c r="E24" s="93"/>
      <c r="F24" s="85"/>
      <c r="G24" s="80"/>
      <c r="H24" s="86"/>
      <c r="I24" s="87"/>
      <c r="J24" s="95"/>
    </row>
    <row r="25" spans="1:10" ht="15.75" x14ac:dyDescent="0.25">
      <c r="A25" s="73"/>
      <c r="B25" s="198" t="s">
        <v>61</v>
      </c>
      <c r="C25" s="199"/>
      <c r="D25" s="93"/>
      <c r="E25" s="93"/>
      <c r="F25" s="85"/>
      <c r="G25" s="80"/>
      <c r="H25" s="86"/>
      <c r="I25" s="87"/>
      <c r="J25" s="95"/>
    </row>
    <row r="26" spans="1:10" ht="15.75" x14ac:dyDescent="0.25">
      <c r="A26" s="88">
        <v>6</v>
      </c>
      <c r="B26" s="207" t="s">
        <v>60</v>
      </c>
      <c r="C26" s="206"/>
      <c r="D26" s="80"/>
      <c r="E26" s="80"/>
      <c r="F26" s="80"/>
      <c r="G26" s="80"/>
      <c r="H26" s="86"/>
      <c r="I26" s="98">
        <f>+I27</f>
        <v>0</v>
      </c>
      <c r="J26" s="99">
        <f>I26/J8</f>
        <v>0</v>
      </c>
    </row>
    <row r="27" spans="1:10" ht="15.75" x14ac:dyDescent="0.25">
      <c r="A27" s="88"/>
      <c r="B27" s="198" t="s">
        <v>59</v>
      </c>
      <c r="C27" s="199"/>
      <c r="D27" s="80"/>
      <c r="E27" s="93"/>
      <c r="F27" s="80"/>
      <c r="G27" s="80"/>
      <c r="H27" s="86"/>
      <c r="I27" s="94"/>
      <c r="J27" s="96"/>
    </row>
    <row r="28" spans="1:10" ht="9" customHeight="1" x14ac:dyDescent="0.25">
      <c r="A28" s="73"/>
      <c r="B28" s="83"/>
      <c r="C28" s="92"/>
      <c r="D28" s="80"/>
      <c r="E28" s="80"/>
      <c r="F28" s="80"/>
      <c r="G28" s="80"/>
      <c r="H28" s="86"/>
      <c r="I28" s="94"/>
      <c r="J28" s="95"/>
    </row>
    <row r="29" spans="1:10" ht="15.75" x14ac:dyDescent="0.25">
      <c r="A29" s="79">
        <v>7</v>
      </c>
      <c r="B29" s="100" t="s">
        <v>58</v>
      </c>
      <c r="C29" s="80"/>
      <c r="D29" s="80"/>
      <c r="E29" s="80"/>
      <c r="F29" s="80"/>
      <c r="G29" s="80"/>
      <c r="H29" s="86"/>
      <c r="I29" s="98">
        <f>SUM(I30:I30)</f>
        <v>0</v>
      </c>
      <c r="J29" s="96">
        <f>I29/J8</f>
        <v>0</v>
      </c>
    </row>
    <row r="30" spans="1:10" ht="15.75" x14ac:dyDescent="0.25">
      <c r="A30" s="91"/>
      <c r="B30" s="203" t="s">
        <v>57</v>
      </c>
      <c r="C30" s="204"/>
      <c r="D30" s="80"/>
      <c r="E30" s="80"/>
      <c r="F30" s="80"/>
      <c r="G30" s="80"/>
      <c r="H30" s="86"/>
      <c r="I30" s="94"/>
      <c r="J30" s="95"/>
    </row>
    <row r="31" spans="1:10" ht="7.5" customHeight="1" x14ac:dyDescent="0.25">
      <c r="A31" s="91"/>
      <c r="B31" s="83"/>
      <c r="C31" s="92"/>
      <c r="D31" s="80"/>
      <c r="E31" s="80"/>
      <c r="F31" s="80"/>
      <c r="G31" s="80"/>
      <c r="H31" s="86"/>
      <c r="I31" s="94"/>
      <c r="J31" s="96"/>
    </row>
    <row r="32" spans="1:10" ht="15.75" x14ac:dyDescent="0.25">
      <c r="A32" s="88">
        <v>9</v>
      </c>
      <c r="B32" s="205" t="s">
        <v>56</v>
      </c>
      <c r="C32" s="206"/>
      <c r="D32" s="80"/>
      <c r="E32" s="80"/>
      <c r="F32" s="80"/>
      <c r="G32" s="80"/>
      <c r="H32" s="86"/>
      <c r="I32" s="98">
        <f>SUM(I33:I35)</f>
        <v>2077266.62</v>
      </c>
      <c r="J32" s="96">
        <f>I32/J8</f>
        <v>6.5000000000000002E-2</v>
      </c>
    </row>
    <row r="33" spans="1:10" x14ac:dyDescent="0.2">
      <c r="A33" s="91"/>
      <c r="B33" s="203" t="s">
        <v>97</v>
      </c>
      <c r="C33" s="204"/>
      <c r="D33" s="80"/>
      <c r="E33" s="80"/>
      <c r="F33" s="80"/>
      <c r="G33" s="80"/>
      <c r="H33" s="86"/>
      <c r="I33" s="101">
        <f>$J$8*0.04</f>
        <v>1278317.92</v>
      </c>
      <c r="J33" s="102"/>
    </row>
    <row r="34" spans="1:10" ht="15.75" x14ac:dyDescent="0.25">
      <c r="A34" s="79"/>
      <c r="B34" s="203" t="s">
        <v>98</v>
      </c>
      <c r="C34" s="204"/>
      <c r="D34" s="80"/>
      <c r="E34" s="80"/>
      <c r="F34" s="80"/>
      <c r="G34" s="80"/>
      <c r="H34" s="86"/>
      <c r="I34" s="101">
        <f>$J$8*0.025</f>
        <v>798948.70000000007</v>
      </c>
      <c r="J34" s="102"/>
    </row>
    <row r="35" spans="1:10" ht="15.75" x14ac:dyDescent="0.25">
      <c r="A35" s="79"/>
      <c r="B35" s="103" t="s">
        <v>55</v>
      </c>
      <c r="C35" s="104"/>
      <c r="D35" s="80"/>
      <c r="E35" s="80"/>
      <c r="F35" s="80"/>
      <c r="G35" s="80"/>
      <c r="H35" s="86"/>
      <c r="I35" s="98"/>
      <c r="J35" s="102"/>
    </row>
    <row r="36" spans="1:10" ht="15.75" x14ac:dyDescent="0.25">
      <c r="A36" s="79"/>
      <c r="B36" s="105" t="s">
        <v>54</v>
      </c>
      <c r="C36" s="104"/>
      <c r="D36" s="80"/>
      <c r="E36" s="80"/>
      <c r="F36" s="80"/>
      <c r="G36" s="80"/>
      <c r="H36" s="86"/>
      <c r="I36" s="106"/>
      <c r="J36" s="107">
        <f>+J32+J29+J26+J23+J20+J18+J13+J11</f>
        <v>6.5000000000000002E-2</v>
      </c>
    </row>
    <row r="37" spans="1:10" ht="15.75" x14ac:dyDescent="0.25">
      <c r="A37" s="91"/>
      <c r="B37" s="108" t="s">
        <v>50</v>
      </c>
      <c r="C37" s="109"/>
      <c r="D37" s="80"/>
      <c r="E37" s="80"/>
      <c r="F37" s="80"/>
      <c r="G37" s="80"/>
      <c r="H37" s="86"/>
      <c r="I37" s="98"/>
      <c r="J37" s="96">
        <v>0</v>
      </c>
    </row>
    <row r="38" spans="1:10" ht="16.5" thickBot="1" x14ac:dyDescent="0.3">
      <c r="A38" s="79"/>
      <c r="B38" s="110" t="s">
        <v>53</v>
      </c>
      <c r="C38" s="111"/>
      <c r="D38" s="112"/>
      <c r="E38" s="112"/>
      <c r="F38" s="112"/>
      <c r="G38" s="112"/>
      <c r="H38" s="113"/>
      <c r="I38" s="114"/>
      <c r="J38" s="115"/>
    </row>
    <row r="39" spans="1:10" ht="16.5" thickBot="1" x14ac:dyDescent="0.3">
      <c r="A39" s="116"/>
      <c r="B39" s="200" t="s">
        <v>52</v>
      </c>
      <c r="C39" s="201"/>
      <c r="D39" s="201"/>
      <c r="E39" s="201"/>
      <c r="F39" s="201"/>
      <c r="G39" s="201"/>
      <c r="H39" s="201"/>
      <c r="I39" s="202"/>
      <c r="J39" s="117">
        <f>SUM(J36:J38)</f>
        <v>6.5000000000000002E-2</v>
      </c>
    </row>
    <row r="40" spans="1:10" ht="15.75" x14ac:dyDescent="0.25">
      <c r="A40" s="67"/>
      <c r="B40" s="66"/>
      <c r="C40" s="67"/>
      <c r="D40" s="67"/>
      <c r="E40" s="118"/>
      <c r="F40" s="119"/>
      <c r="G40" s="120"/>
      <c r="H40" s="67"/>
      <c r="I40" s="121"/>
      <c r="J40" s="67"/>
    </row>
    <row r="41" spans="1:10" ht="15.75" x14ac:dyDescent="0.25">
      <c r="A41" s="67"/>
      <c r="B41" s="66" t="s">
        <v>51</v>
      </c>
      <c r="C41" s="66"/>
      <c r="D41" s="122">
        <f>J36</f>
        <v>6.5000000000000002E-2</v>
      </c>
      <c r="E41" s="118"/>
      <c r="F41" s="118"/>
      <c r="G41" s="67"/>
      <c r="H41" s="67"/>
      <c r="I41" s="121"/>
      <c r="J41" s="67"/>
    </row>
    <row r="42" spans="1:10" ht="15.75" x14ac:dyDescent="0.25">
      <c r="A42" s="67"/>
      <c r="B42" s="66" t="s">
        <v>50</v>
      </c>
      <c r="C42" s="66"/>
      <c r="D42" s="123">
        <f>J37</f>
        <v>0</v>
      </c>
      <c r="E42" s="118"/>
      <c r="F42" s="118"/>
      <c r="G42" s="120"/>
      <c r="H42" s="67"/>
      <c r="I42" s="67"/>
      <c r="J42" s="67"/>
    </row>
    <row r="43" spans="1:10" ht="15.75" x14ac:dyDescent="0.25">
      <c r="A43" s="67"/>
      <c r="B43" s="66" t="s">
        <v>49</v>
      </c>
      <c r="C43" s="66"/>
      <c r="D43" s="123">
        <f>J38</f>
        <v>0</v>
      </c>
      <c r="E43" s="118"/>
      <c r="F43" s="118"/>
      <c r="G43" s="67"/>
      <c r="H43" s="67"/>
      <c r="I43" s="67"/>
      <c r="J43" s="67"/>
    </row>
    <row r="47" spans="1:10" x14ac:dyDescent="0.2">
      <c r="C47" s="67"/>
    </row>
  </sheetData>
  <mergeCells count="22">
    <mergeCell ref="B19:C19"/>
    <mergeCell ref="B20:C20"/>
    <mergeCell ref="B21:C21"/>
    <mergeCell ref="B23:C23"/>
    <mergeCell ref="B24:C24"/>
    <mergeCell ref="B25:C25"/>
    <mergeCell ref="B39:I39"/>
    <mergeCell ref="B27:C27"/>
    <mergeCell ref="B30:C30"/>
    <mergeCell ref="B32:C32"/>
    <mergeCell ref="B33:C33"/>
    <mergeCell ref="B34:C34"/>
    <mergeCell ref="B26:C26"/>
    <mergeCell ref="B11:C11"/>
    <mergeCell ref="B13:C13"/>
    <mergeCell ref="B18:H18"/>
    <mergeCell ref="A1:J1"/>
    <mergeCell ref="A2:J2"/>
    <mergeCell ref="A5:J5"/>
    <mergeCell ref="A6:J7"/>
    <mergeCell ref="A3:J3"/>
    <mergeCell ref="A4:J4"/>
  </mergeCells>
  <printOptions horizontalCentered="1"/>
  <pageMargins left="0.47244094488188981" right="0.39370078740157483" top="0.98425196850393704" bottom="0.55118110236220474" header="3.937007874015748E-2" footer="0"/>
  <pageSetup scale="78" orientation="portrait" horizontalDpi="4294967294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L48"/>
  <sheetViews>
    <sheetView view="pageBreakPreview" zoomScale="87" zoomScaleNormal="100" zoomScaleSheetLayoutView="87" workbookViewId="0">
      <selection activeCell="L20" sqref="L20"/>
    </sheetView>
  </sheetViews>
  <sheetFormatPr baseColWidth="10" defaultColWidth="10.7109375" defaultRowHeight="15" x14ac:dyDescent="0.25"/>
  <sheetData>
    <row r="1" spans="1:9" x14ac:dyDescent="0.25">
      <c r="A1" s="217" t="s">
        <v>7</v>
      </c>
      <c r="B1" s="218"/>
      <c r="C1" s="218"/>
      <c r="D1" s="218"/>
      <c r="E1" s="219"/>
      <c r="F1" s="217" t="s">
        <v>8</v>
      </c>
      <c r="G1" s="218"/>
      <c r="H1" s="218"/>
      <c r="I1" s="219"/>
    </row>
    <row r="2" spans="1:9" x14ac:dyDescent="0.25">
      <c r="A2" s="220"/>
      <c r="B2" s="221"/>
      <c r="C2" s="221"/>
      <c r="D2" s="221"/>
      <c r="E2" s="222"/>
      <c r="F2" s="220"/>
      <c r="G2" s="221"/>
      <c r="H2" s="221"/>
      <c r="I2" s="222"/>
    </row>
    <row r="3" spans="1:9" ht="15.75" thickBot="1" x14ac:dyDescent="0.3">
      <c r="A3" s="223"/>
      <c r="B3" s="224"/>
      <c r="C3" s="224"/>
      <c r="D3" s="224"/>
      <c r="E3" s="225"/>
      <c r="F3" s="223"/>
      <c r="G3" s="224"/>
      <c r="H3" s="224"/>
      <c r="I3" s="225"/>
    </row>
    <row r="4" spans="1:9" x14ac:dyDescent="0.25">
      <c r="A4" s="1"/>
      <c r="B4" s="2"/>
      <c r="C4" s="2"/>
      <c r="D4" s="2"/>
      <c r="E4" s="2"/>
      <c r="F4" s="2"/>
      <c r="G4" s="2"/>
      <c r="H4" s="2"/>
      <c r="I4" s="3"/>
    </row>
    <row r="5" spans="1:9" ht="17.25" customHeight="1" x14ac:dyDescent="0.25">
      <c r="A5" s="1" t="s">
        <v>9</v>
      </c>
      <c r="B5" s="226" t="s">
        <v>78</v>
      </c>
      <c r="C5" s="226"/>
      <c r="D5" s="226"/>
      <c r="E5" s="226"/>
      <c r="F5" s="226"/>
      <c r="G5" s="226"/>
      <c r="H5" s="226"/>
      <c r="I5" s="227"/>
    </row>
    <row r="6" spans="1:9" ht="22.5" customHeight="1" x14ac:dyDescent="0.25">
      <c r="A6" s="1" t="s">
        <v>10</v>
      </c>
      <c r="B6" s="226"/>
      <c r="C6" s="226"/>
      <c r="D6" s="226"/>
      <c r="E6" s="226"/>
      <c r="F6" s="226"/>
      <c r="G6" s="226"/>
      <c r="H6" s="226"/>
      <c r="I6" s="227"/>
    </row>
    <row r="7" spans="1:9" x14ac:dyDescent="0.25">
      <c r="A7" s="1" t="s">
        <v>11</v>
      </c>
      <c r="B7" s="2"/>
      <c r="C7" s="228" t="s">
        <v>38</v>
      </c>
      <c r="D7" s="228"/>
      <c r="E7" s="228"/>
      <c r="F7" s="228"/>
      <c r="G7" s="228"/>
      <c r="H7" s="228"/>
      <c r="I7" s="229"/>
    </row>
    <row r="8" spans="1:9" x14ac:dyDescent="0.25">
      <c r="A8" s="4"/>
      <c r="B8" s="2"/>
      <c r="C8" s="228"/>
      <c r="D8" s="228"/>
      <c r="E8" s="228"/>
      <c r="F8" s="228"/>
      <c r="G8" s="228"/>
      <c r="H8" s="228"/>
      <c r="I8" s="229"/>
    </row>
    <row r="9" spans="1:9" x14ac:dyDescent="0.25">
      <c r="A9" s="1" t="s">
        <v>6</v>
      </c>
      <c r="B9" s="2"/>
      <c r="C9" s="2"/>
      <c r="D9" s="2"/>
      <c r="E9" s="2"/>
      <c r="F9" s="2"/>
      <c r="G9" s="2"/>
      <c r="H9" s="5" t="s">
        <v>12</v>
      </c>
      <c r="I9" s="6" t="s">
        <v>37</v>
      </c>
    </row>
    <row r="10" spans="1:9" ht="15.75" thickBot="1" x14ac:dyDescent="0.3">
      <c r="A10" s="7" t="s">
        <v>13</v>
      </c>
      <c r="B10" s="8"/>
      <c r="C10" s="8"/>
      <c r="D10" s="8"/>
      <c r="E10" s="8"/>
      <c r="F10" s="8"/>
      <c r="G10" s="8"/>
      <c r="H10" s="8"/>
      <c r="I10" s="9"/>
    </row>
    <row r="11" spans="1:9" x14ac:dyDescent="0.25">
      <c r="A11" s="230" t="s">
        <v>14</v>
      </c>
      <c r="B11" s="231"/>
      <c r="C11" s="231"/>
      <c r="D11" s="231"/>
      <c r="E11" s="232"/>
      <c r="F11" s="10" t="s">
        <v>15</v>
      </c>
      <c r="G11" s="10" t="s">
        <v>16</v>
      </c>
      <c r="H11" s="10" t="s">
        <v>17</v>
      </c>
      <c r="I11" s="11" t="s">
        <v>18</v>
      </c>
    </row>
    <row r="12" spans="1:9" x14ac:dyDescent="0.25">
      <c r="A12" s="214" t="s">
        <v>39</v>
      </c>
      <c r="B12" s="215"/>
      <c r="C12" s="215"/>
      <c r="D12" s="215"/>
      <c r="E12" s="216"/>
      <c r="F12" s="12"/>
      <c r="G12" s="12"/>
      <c r="H12" s="13"/>
      <c r="I12" s="14" t="e">
        <f>ROUND(I38*0.05,)+23</f>
        <v>#REF!</v>
      </c>
    </row>
    <row r="13" spans="1:9" x14ac:dyDescent="0.25">
      <c r="A13" s="214" t="s">
        <v>40</v>
      </c>
      <c r="B13" s="215"/>
      <c r="C13" s="215"/>
      <c r="D13" s="215"/>
      <c r="E13" s="216"/>
      <c r="F13" s="12">
        <v>1</v>
      </c>
      <c r="G13" s="13">
        <v>50000</v>
      </c>
      <c r="H13" s="15">
        <f>H35</f>
        <v>4.74</v>
      </c>
      <c r="I13" s="14">
        <f>+ROUND((F13*G13)/H13,0)</f>
        <v>10549</v>
      </c>
    </row>
    <row r="14" spans="1:9" x14ac:dyDescent="0.25">
      <c r="A14" s="233" t="s">
        <v>41</v>
      </c>
      <c r="B14" s="234"/>
      <c r="C14" s="234"/>
      <c r="D14" s="234"/>
      <c r="E14" s="235"/>
      <c r="F14" s="16">
        <v>2</v>
      </c>
      <c r="G14" s="17">
        <v>13000</v>
      </c>
      <c r="H14" s="18">
        <f>H35</f>
        <v>4.74</v>
      </c>
      <c r="I14" s="19">
        <f>ROUND(F14*G14/H14,)</f>
        <v>5485</v>
      </c>
    </row>
    <row r="15" spans="1:9" x14ac:dyDescent="0.25">
      <c r="A15" s="214"/>
      <c r="B15" s="215"/>
      <c r="C15" s="215"/>
      <c r="D15" s="215"/>
      <c r="E15" s="216"/>
      <c r="F15" s="12"/>
      <c r="G15" s="13"/>
      <c r="H15" s="13"/>
      <c r="I15" s="14"/>
    </row>
    <row r="16" spans="1:9" ht="15.75" thickBot="1" x14ac:dyDescent="0.3">
      <c r="A16" s="236"/>
      <c r="B16" s="237"/>
      <c r="C16" s="237"/>
      <c r="D16" s="237"/>
      <c r="E16" s="238"/>
      <c r="F16" s="20"/>
      <c r="G16" s="21"/>
      <c r="H16" s="21"/>
      <c r="I16" s="22"/>
    </row>
    <row r="17" spans="1:9" ht="15.75" thickBot="1" x14ac:dyDescent="0.3">
      <c r="A17" s="1"/>
      <c r="B17" s="2"/>
      <c r="C17" s="2"/>
      <c r="D17" s="2"/>
      <c r="E17" s="2"/>
      <c r="F17" s="2"/>
      <c r="G17" s="23"/>
      <c r="H17" s="24" t="s">
        <v>19</v>
      </c>
      <c r="I17" s="25" t="e">
        <f>ROUND(SUM(I12:I16),0)</f>
        <v>#REF!</v>
      </c>
    </row>
    <row r="18" spans="1:9" ht="15.75" thickBot="1" x14ac:dyDescent="0.3">
      <c r="A18" s="1" t="s">
        <v>20</v>
      </c>
      <c r="B18" s="2"/>
      <c r="C18" s="2"/>
      <c r="D18" s="2"/>
      <c r="E18" s="2"/>
      <c r="F18" s="2"/>
      <c r="G18" s="23"/>
      <c r="H18" s="23"/>
      <c r="I18" s="3"/>
    </row>
    <row r="19" spans="1:9" x14ac:dyDescent="0.25">
      <c r="A19" s="230" t="s">
        <v>14</v>
      </c>
      <c r="B19" s="231"/>
      <c r="C19" s="231"/>
      <c r="D19" s="231"/>
      <c r="E19" s="232"/>
      <c r="F19" s="10" t="s">
        <v>21</v>
      </c>
      <c r="G19" s="26" t="s">
        <v>22</v>
      </c>
      <c r="H19" s="26" t="s">
        <v>4</v>
      </c>
      <c r="I19" s="11" t="s">
        <v>18</v>
      </c>
    </row>
    <row r="20" spans="1:9" x14ac:dyDescent="0.25">
      <c r="A20" s="214" t="s">
        <v>42</v>
      </c>
      <c r="B20" s="215"/>
      <c r="C20" s="215"/>
      <c r="D20" s="215"/>
      <c r="E20" s="216"/>
      <c r="F20" s="27" t="s">
        <v>43</v>
      </c>
      <c r="G20" s="17">
        <f>25000</f>
        <v>25000</v>
      </c>
      <c r="H20" s="13">
        <v>7</v>
      </c>
      <c r="I20" s="28">
        <f>ROUND(H20*G20,)</f>
        <v>175000</v>
      </c>
    </row>
    <row r="21" spans="1:9" x14ac:dyDescent="0.25">
      <c r="A21" s="214" t="s">
        <v>44</v>
      </c>
      <c r="B21" s="215"/>
      <c r="C21" s="215"/>
      <c r="D21" s="215"/>
      <c r="E21" s="216"/>
      <c r="F21" s="27" t="s">
        <v>37</v>
      </c>
      <c r="G21" s="17">
        <f>+[1]MATERIALES!$C$12</f>
        <v>50000</v>
      </c>
      <c r="H21" s="13">
        <v>1.24</v>
      </c>
      <c r="I21" s="28">
        <f>ROUND(H21*G21,)</f>
        <v>62000</v>
      </c>
    </row>
    <row r="22" spans="1:9" x14ac:dyDescent="0.25">
      <c r="A22" s="214" t="s">
        <v>45</v>
      </c>
      <c r="B22" s="215"/>
      <c r="C22" s="215"/>
      <c r="D22" s="215"/>
      <c r="E22" s="216"/>
      <c r="F22" s="27" t="s">
        <v>46</v>
      </c>
      <c r="G22" s="13">
        <v>50</v>
      </c>
      <c r="H22" s="13">
        <v>150</v>
      </c>
      <c r="I22" s="28">
        <f>ROUND(H22*G22,)</f>
        <v>7500</v>
      </c>
    </row>
    <row r="23" spans="1:9" x14ac:dyDescent="0.25">
      <c r="A23" s="214"/>
      <c r="B23" s="215"/>
      <c r="C23" s="215"/>
      <c r="D23" s="215"/>
      <c r="E23" s="216"/>
      <c r="F23" s="27"/>
      <c r="G23" s="13"/>
      <c r="H23" s="29"/>
      <c r="I23" s="28"/>
    </row>
    <row r="24" spans="1:9" x14ac:dyDescent="0.25">
      <c r="A24" s="214"/>
      <c r="B24" s="215"/>
      <c r="C24" s="215"/>
      <c r="D24" s="215"/>
      <c r="E24" s="216"/>
      <c r="F24" s="30"/>
      <c r="G24" s="29"/>
      <c r="H24" s="29"/>
      <c r="I24" s="31"/>
    </row>
    <row r="25" spans="1:9" ht="15.75" thickBot="1" x14ac:dyDescent="0.3">
      <c r="A25" s="243"/>
      <c r="B25" s="244"/>
      <c r="C25" s="244"/>
      <c r="D25" s="244"/>
      <c r="E25" s="245"/>
      <c r="F25" s="32"/>
      <c r="G25" s="33"/>
      <c r="H25" s="33"/>
      <c r="I25" s="34"/>
    </row>
    <row r="26" spans="1:9" ht="15.75" thickBot="1" x14ac:dyDescent="0.3">
      <c r="A26" s="1"/>
      <c r="B26" s="2"/>
      <c r="C26" s="2"/>
      <c r="D26" s="2"/>
      <c r="E26" s="2"/>
      <c r="F26" s="2"/>
      <c r="G26" s="23"/>
      <c r="H26" s="24" t="s">
        <v>19</v>
      </c>
      <c r="I26" s="35">
        <f>SUM(I20:I25)</f>
        <v>244500</v>
      </c>
    </row>
    <row r="27" spans="1:9" ht="15.75" thickBot="1" x14ac:dyDescent="0.3">
      <c r="A27" s="1" t="s">
        <v>47</v>
      </c>
      <c r="B27" s="2"/>
      <c r="C27" s="2"/>
      <c r="D27" s="2"/>
      <c r="E27" s="2"/>
      <c r="F27" s="2"/>
      <c r="G27" s="2"/>
      <c r="H27" s="2"/>
      <c r="I27" s="3"/>
    </row>
    <row r="28" spans="1:9" x14ac:dyDescent="0.25">
      <c r="A28" s="230" t="s">
        <v>23</v>
      </c>
      <c r="B28" s="231"/>
      <c r="C28" s="231"/>
      <c r="D28" s="232"/>
      <c r="E28" s="36" t="s">
        <v>24</v>
      </c>
      <c r="F28" s="10" t="s">
        <v>25</v>
      </c>
      <c r="G28" s="10" t="s">
        <v>48</v>
      </c>
      <c r="H28" s="10" t="s">
        <v>26</v>
      </c>
      <c r="I28" s="11" t="s">
        <v>18</v>
      </c>
    </row>
    <row r="29" spans="1:9" x14ac:dyDescent="0.25">
      <c r="A29" s="246" t="str">
        <f>+A21</f>
        <v>Arena</v>
      </c>
      <c r="B29" s="247"/>
      <c r="C29" s="247"/>
      <c r="D29" s="248"/>
      <c r="E29" s="37">
        <v>1.1000000000000001</v>
      </c>
      <c r="F29" s="38">
        <v>4</v>
      </c>
      <c r="G29" s="38">
        <f>E29*F29</f>
        <v>4.4000000000000004</v>
      </c>
      <c r="H29" s="39">
        <v>1100</v>
      </c>
      <c r="I29" s="40">
        <f>+H29*G29</f>
        <v>4840</v>
      </c>
    </row>
    <row r="30" spans="1:9" x14ac:dyDescent="0.25">
      <c r="A30" s="249"/>
      <c r="B30" s="250"/>
      <c r="C30" s="250"/>
      <c r="D30" s="251"/>
      <c r="E30" s="41"/>
      <c r="F30" s="42"/>
      <c r="G30" s="43"/>
      <c r="H30" s="43"/>
      <c r="I30" s="28"/>
    </row>
    <row r="31" spans="1:9" ht="15.75" thickBot="1" x14ac:dyDescent="0.3">
      <c r="A31" s="214"/>
      <c r="B31" s="215"/>
      <c r="C31" s="215"/>
      <c r="D31" s="215"/>
      <c r="E31" s="216"/>
      <c r="F31" s="42"/>
      <c r="G31" s="44"/>
      <c r="H31" s="44"/>
      <c r="I31" s="34"/>
    </row>
    <row r="32" spans="1:9" ht="15.75" thickBot="1" x14ac:dyDescent="0.3">
      <c r="A32" s="1"/>
      <c r="B32" s="2"/>
      <c r="C32" s="2"/>
      <c r="D32" s="2"/>
      <c r="E32" s="2"/>
      <c r="F32" s="2"/>
      <c r="G32" s="2"/>
      <c r="H32" s="24" t="s">
        <v>19</v>
      </c>
      <c r="I32" s="45">
        <f>SUM(I29:I31)</f>
        <v>4840</v>
      </c>
    </row>
    <row r="33" spans="1:12" ht="15.75" thickBot="1" x14ac:dyDescent="0.3">
      <c r="A33" s="1" t="s">
        <v>27</v>
      </c>
      <c r="B33" s="2"/>
      <c r="C33" s="2"/>
      <c r="D33" s="2"/>
      <c r="E33" s="2"/>
      <c r="F33" s="2"/>
      <c r="G33" s="2"/>
      <c r="H33" s="2"/>
      <c r="I33" s="3"/>
    </row>
    <row r="34" spans="1:12" x14ac:dyDescent="0.25">
      <c r="A34" s="230" t="s">
        <v>28</v>
      </c>
      <c r="B34" s="231"/>
      <c r="C34" s="231"/>
      <c r="D34" s="231"/>
      <c r="E34" s="10"/>
      <c r="F34" s="252" t="s">
        <v>29</v>
      </c>
      <c r="G34" s="253"/>
      <c r="H34" s="46" t="s">
        <v>17</v>
      </c>
      <c r="I34" s="47" t="s">
        <v>18</v>
      </c>
    </row>
    <row r="35" spans="1:12" x14ac:dyDescent="0.25">
      <c r="A35" s="239" t="e">
        <f>#REF!</f>
        <v>#REF!</v>
      </c>
      <c r="B35" s="240"/>
      <c r="C35" s="240"/>
      <c r="D35" s="240"/>
      <c r="E35" s="17"/>
      <c r="F35" s="241" t="e">
        <f>#REF!</f>
        <v>#REF!</v>
      </c>
      <c r="G35" s="242"/>
      <c r="H35" s="18">
        <v>4.74</v>
      </c>
      <c r="I35" s="48" t="e">
        <f>ROUND(F35/H35,)</f>
        <v>#REF!</v>
      </c>
    </row>
    <row r="36" spans="1:12" x14ac:dyDescent="0.25">
      <c r="A36" s="254"/>
      <c r="B36" s="255"/>
      <c r="C36" s="255"/>
      <c r="D36" s="255"/>
      <c r="E36" s="13"/>
      <c r="F36" s="256"/>
      <c r="G36" s="257"/>
      <c r="H36" s="13"/>
      <c r="I36" s="28"/>
    </row>
    <row r="37" spans="1:12" ht="15.75" thickBot="1" x14ac:dyDescent="0.3">
      <c r="A37" s="258"/>
      <c r="B37" s="259"/>
      <c r="C37" s="259"/>
      <c r="D37" s="259"/>
      <c r="E37" s="49"/>
      <c r="F37" s="260"/>
      <c r="G37" s="261"/>
      <c r="H37" s="50"/>
      <c r="I37" s="9"/>
    </row>
    <row r="38" spans="1:12" ht="15.75" thickBot="1" x14ac:dyDescent="0.3">
      <c r="A38" s="1"/>
      <c r="B38" s="2"/>
      <c r="C38" s="2"/>
      <c r="D38" s="2"/>
      <c r="E38" s="23"/>
      <c r="F38" s="23"/>
      <c r="G38" s="23"/>
      <c r="H38" s="24" t="s">
        <v>19</v>
      </c>
      <c r="I38" s="45" t="e">
        <f>SUM(I35:I37)</f>
        <v>#REF!</v>
      </c>
    </row>
    <row r="39" spans="1:12" ht="15.75" thickBot="1" x14ac:dyDescent="0.3">
      <c r="A39" s="1"/>
      <c r="B39" s="2"/>
      <c r="C39" s="2"/>
      <c r="D39" s="2"/>
      <c r="E39" s="23"/>
      <c r="F39" s="23"/>
      <c r="G39" s="23"/>
      <c r="H39" s="23"/>
      <c r="I39" s="51"/>
    </row>
    <row r="40" spans="1:12" ht="15.75" thickBot="1" x14ac:dyDescent="0.3">
      <c r="A40" s="1"/>
      <c r="B40" s="2"/>
      <c r="C40" s="2"/>
      <c r="D40" s="2"/>
      <c r="E40" s="23"/>
      <c r="F40" s="52" t="s">
        <v>5</v>
      </c>
      <c r="G40" s="2"/>
      <c r="H40" s="53"/>
      <c r="I40" s="54" t="e">
        <f>+I38+I32+I26+I17</f>
        <v>#REF!</v>
      </c>
      <c r="J40">
        <v>385000</v>
      </c>
      <c r="L40" s="62" t="e">
        <f>I40-J40</f>
        <v>#REF!</v>
      </c>
    </row>
    <row r="41" spans="1:12" ht="15.75" thickBot="1" x14ac:dyDescent="0.3">
      <c r="A41" s="1" t="s">
        <v>30</v>
      </c>
      <c r="B41" s="2"/>
      <c r="C41" s="2"/>
      <c r="D41" s="2"/>
      <c r="E41" s="23"/>
      <c r="F41" s="23"/>
      <c r="G41" s="23"/>
      <c r="H41" s="23"/>
      <c r="I41" s="3"/>
    </row>
    <row r="42" spans="1:12" x14ac:dyDescent="0.25">
      <c r="A42" s="230" t="s">
        <v>14</v>
      </c>
      <c r="B42" s="231"/>
      <c r="C42" s="231"/>
      <c r="D42" s="231"/>
      <c r="E42" s="231"/>
      <c r="F42" s="231"/>
      <c r="G42" s="232"/>
      <c r="H42" s="55" t="s">
        <v>31</v>
      </c>
      <c r="I42" s="56" t="s">
        <v>32</v>
      </c>
    </row>
    <row r="43" spans="1:12" x14ac:dyDescent="0.25">
      <c r="A43" s="214" t="s">
        <v>33</v>
      </c>
      <c r="B43" s="215"/>
      <c r="C43" s="215"/>
      <c r="D43" s="215"/>
      <c r="E43" s="215"/>
      <c r="F43" s="215"/>
      <c r="G43" s="216"/>
      <c r="H43" s="57">
        <v>0</v>
      </c>
      <c r="I43" s="28" t="e">
        <f>I40*H43/100</f>
        <v>#REF!</v>
      </c>
    </row>
    <row r="44" spans="1:12" x14ac:dyDescent="0.25">
      <c r="A44" s="214" t="s">
        <v>34</v>
      </c>
      <c r="B44" s="215"/>
      <c r="C44" s="215"/>
      <c r="D44" s="215"/>
      <c r="E44" s="215"/>
      <c r="F44" s="215"/>
      <c r="G44" s="216"/>
      <c r="H44" s="57">
        <v>0</v>
      </c>
      <c r="I44" s="28" t="e">
        <f>I40*H44/100</f>
        <v>#REF!</v>
      </c>
    </row>
    <row r="45" spans="1:12" ht="15.75" thickBot="1" x14ac:dyDescent="0.3">
      <c r="A45" s="243" t="s">
        <v>35</v>
      </c>
      <c r="B45" s="244"/>
      <c r="C45" s="244"/>
      <c r="D45" s="244"/>
      <c r="E45" s="244"/>
      <c r="F45" s="244"/>
      <c r="G45" s="245"/>
      <c r="H45" s="58">
        <v>0</v>
      </c>
      <c r="I45" s="28" t="e">
        <f>I40*H45/100</f>
        <v>#REF!</v>
      </c>
    </row>
    <row r="46" spans="1:12" ht="15.75" thickBot="1" x14ac:dyDescent="0.3">
      <c r="A46" s="1"/>
      <c r="B46" s="2"/>
      <c r="C46" s="2"/>
      <c r="D46" s="2"/>
      <c r="E46" s="23"/>
      <c r="F46" s="23"/>
      <c r="G46" s="23"/>
      <c r="H46" s="24" t="s">
        <v>19</v>
      </c>
      <c r="I46" s="45" t="e">
        <f>SUM(I43:I45)</f>
        <v>#REF!</v>
      </c>
    </row>
    <row r="47" spans="1:12" ht="15.75" thickBot="1" x14ac:dyDescent="0.3">
      <c r="A47" s="1"/>
      <c r="B47" s="2"/>
      <c r="C47" s="2"/>
      <c r="D47" s="2"/>
      <c r="E47" s="23"/>
      <c r="F47" s="23"/>
      <c r="G47" s="23"/>
      <c r="H47" s="23"/>
      <c r="I47" s="3"/>
    </row>
    <row r="48" spans="1:12" ht="15.75" thickBot="1" x14ac:dyDescent="0.3">
      <c r="A48" s="7"/>
      <c r="B48" s="8"/>
      <c r="C48" s="8"/>
      <c r="D48" s="8"/>
      <c r="E48" s="59"/>
      <c r="F48" s="60"/>
      <c r="G48" s="61"/>
      <c r="H48" s="61" t="s">
        <v>36</v>
      </c>
      <c r="I48" s="54" t="e">
        <f>I40+I46</f>
        <v>#REF!</v>
      </c>
    </row>
  </sheetData>
  <mergeCells count="33">
    <mergeCell ref="A44:G44"/>
    <mergeCell ref="A45:G45"/>
    <mergeCell ref="A36:D36"/>
    <mergeCell ref="F36:G36"/>
    <mergeCell ref="A37:D37"/>
    <mergeCell ref="F37:G37"/>
    <mergeCell ref="A42:G42"/>
    <mergeCell ref="A43:G43"/>
    <mergeCell ref="A35:D35"/>
    <mergeCell ref="F35:G35"/>
    <mergeCell ref="A21:E21"/>
    <mergeCell ref="A22:E22"/>
    <mergeCell ref="A23:E23"/>
    <mergeCell ref="A24:E24"/>
    <mergeCell ref="A25:E25"/>
    <mergeCell ref="A28:D28"/>
    <mergeCell ref="A29:D29"/>
    <mergeCell ref="A30:D30"/>
    <mergeCell ref="A31:E31"/>
    <mergeCell ref="A34:D34"/>
    <mergeCell ref="F34:G34"/>
    <mergeCell ref="A20:E20"/>
    <mergeCell ref="A1:E3"/>
    <mergeCell ref="F1:I3"/>
    <mergeCell ref="B5:I6"/>
    <mergeCell ref="C7:I8"/>
    <mergeCell ref="A11:E11"/>
    <mergeCell ref="A12:E12"/>
    <mergeCell ref="A13:E13"/>
    <mergeCell ref="A14:E14"/>
    <mergeCell ref="A15:E15"/>
    <mergeCell ref="A16:E16"/>
    <mergeCell ref="A19:E19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</vt:lpstr>
      <vt:lpstr>Hoja1</vt:lpstr>
      <vt:lpstr>AIU </vt:lpstr>
      <vt:lpstr>APA</vt:lpstr>
      <vt:lpstr>'AIU '!Área_de_impresión</vt:lpstr>
      <vt:lpstr>APA!Área_de_impresión</vt:lpstr>
      <vt:lpstr>PRESUPUESTO!Área_de_impresión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CONTRATACIÓN</cp:lastModifiedBy>
  <cp:lastPrinted>2022-02-10T14:04:02Z</cp:lastPrinted>
  <dcterms:created xsi:type="dcterms:W3CDTF">2020-02-27T11:42:03Z</dcterms:created>
  <dcterms:modified xsi:type="dcterms:W3CDTF">2023-09-22T17:04:41Z</dcterms:modified>
</cp:coreProperties>
</file>