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.aragon\Documents\365\"/>
    </mc:Choice>
  </mc:AlternateContent>
  <xr:revisionPtr revIDLastSave="54" documentId="8_{C65021A2-4C63-4016-9FB8-CC3C284DA60D}" xr6:coauthVersionLast="47" xr6:coauthVersionMax="47" xr10:uidLastSave="{5C9F8D4D-E8EE-4064-80A7-475E385C589D}"/>
  <bookViews>
    <workbookView xWindow="-30" yWindow="90" windowWidth="13275" windowHeight="14790" firstSheet="3" activeTab="3" xr2:uid="{00000000-000D-0000-FFFF-FFFF00000000}"/>
  </bookViews>
  <sheets>
    <sheet name="TABLA PROF" sheetId="19" r:id="rId1"/>
    <sheet name="COMPONENTES A, B Y C" sheetId="16" r:id="rId2"/>
    <sheet name="AIU COMPONENTES" sheetId="17" r:id="rId3"/>
    <sheet name="AIU OBRA" sheetId="18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6" i="18" l="1"/>
  <c r="H27" i="18"/>
  <c r="E9" i="17"/>
  <c r="J68" i="16"/>
  <c r="J35" i="16"/>
  <c r="H28" i="18"/>
  <c r="I28" i="18" s="1"/>
  <c r="I27" i="18"/>
  <c r="H35" i="18"/>
  <c r="I35" i="18" s="1"/>
  <c r="J39" i="16"/>
  <c r="J38" i="16"/>
  <c r="J12" i="16" l="1"/>
  <c r="J11" i="16"/>
  <c r="H23" i="18"/>
  <c r="G55" i="18"/>
  <c r="I32" i="18"/>
  <c r="K26" i="17" l="1"/>
  <c r="I55" i="18"/>
  <c r="J52" i="16" l="1"/>
  <c r="G53" i="18" l="1"/>
  <c r="G52" i="18"/>
  <c r="I33" i="18"/>
  <c r="H34" i="18"/>
  <c r="I34" i="18" s="1"/>
  <c r="I36" i="18" s="1"/>
  <c r="I26" i="18"/>
  <c r="H25" i="18"/>
  <c r="I25" i="18" s="1"/>
  <c r="H24" i="18"/>
  <c r="I24" i="18" s="1"/>
  <c r="I23" i="18"/>
  <c r="B21" i="17"/>
  <c r="B23" i="17" s="1"/>
  <c r="B24" i="17" s="1"/>
  <c r="B25" i="17" s="1"/>
  <c r="B26" i="17" s="1"/>
  <c r="J16" i="17"/>
  <c r="B15" i="17"/>
  <c r="B16" i="17" s="1"/>
  <c r="B17" i="17" s="1"/>
  <c r="B18" i="17" s="1"/>
  <c r="J13" i="16"/>
  <c r="J14" i="16" s="1"/>
  <c r="J64" i="16"/>
  <c r="J63" i="16"/>
  <c r="J62" i="16"/>
  <c r="J61" i="16"/>
  <c r="J59" i="16"/>
  <c r="J58" i="16"/>
  <c r="J57" i="16"/>
  <c r="J56" i="16"/>
  <c r="J55" i="16"/>
  <c r="J54" i="16"/>
  <c r="J53" i="16"/>
  <c r="J51" i="16"/>
  <c r="J50" i="16"/>
  <c r="J49" i="16"/>
  <c r="J48" i="16"/>
  <c r="J47" i="16"/>
  <c r="J46" i="16"/>
  <c r="J45" i="16"/>
  <c r="B45" i="16"/>
  <c r="B46" i="16" s="1"/>
  <c r="B47" i="16" s="1"/>
  <c r="B48" i="16" s="1"/>
  <c r="B49" i="16" s="1"/>
  <c r="B50" i="16" s="1"/>
  <c r="B51" i="16" s="1"/>
  <c r="B52" i="16" s="1"/>
  <c r="B53" i="16" s="1"/>
  <c r="B54" i="16" s="1"/>
  <c r="B55" i="16" s="1"/>
  <c r="B56" i="16" s="1"/>
  <c r="B57" i="16" s="1"/>
  <c r="B58" i="16" s="1"/>
  <c r="B59" i="16" s="1"/>
  <c r="B60" i="16" s="1"/>
  <c r="J44" i="16"/>
  <c r="J33" i="16"/>
  <c r="J32" i="16"/>
  <c r="J31" i="16"/>
  <c r="J30" i="16"/>
  <c r="J29" i="16"/>
  <c r="J25" i="16"/>
  <c r="J24" i="16"/>
  <c r="J23" i="16"/>
  <c r="J19" i="16"/>
  <c r="J20" i="16" s="1"/>
  <c r="I29" i="18" l="1"/>
  <c r="I38" i="18" s="1"/>
  <c r="J26" i="16"/>
  <c r="B62" i="16"/>
  <c r="B63" i="16" s="1"/>
  <c r="B64" i="16" s="1"/>
  <c r="J65" i="16"/>
  <c r="J66" i="16" s="1"/>
  <c r="J34" i="16"/>
  <c r="E25" i="17" l="1"/>
  <c r="K25" i="17" s="1"/>
  <c r="K15" i="17"/>
  <c r="K18" i="17"/>
  <c r="E23" i="17"/>
  <c r="K23" i="17" s="1"/>
  <c r="E24" i="17"/>
  <c r="K24" i="17" s="1"/>
  <c r="K17" i="17"/>
  <c r="K16" i="17"/>
  <c r="K28" i="17" l="1"/>
  <c r="K19" i="17"/>
  <c r="K30" i="17" s="1"/>
  <c r="K31" i="17" l="1"/>
  <c r="K33" i="17" s="1"/>
  <c r="K37" i="17" s="1"/>
  <c r="I69" i="16" s="1"/>
  <c r="J69" i="16" s="1"/>
  <c r="J70" i="16" l="1"/>
  <c r="D12" i="18" s="1"/>
  <c r="I39" i="18" l="1"/>
  <c r="K14" i="18"/>
  <c r="I44" i="18"/>
  <c r="I47" i="18"/>
  <c r="I46" i="18"/>
  <c r="D54" i="18"/>
  <c r="I54" i="18" s="1"/>
  <c r="D53" i="18"/>
  <c r="I53" i="18" s="1"/>
  <c r="D52" i="18"/>
  <c r="I52" i="18" s="1"/>
  <c r="I45" i="18"/>
  <c r="I48" i="18" l="1"/>
  <c r="I57" i="18"/>
  <c r="I59" i="18" l="1"/>
  <c r="I60" i="18" l="1"/>
  <c r="I62" i="18" s="1"/>
  <c r="I64" i="18" s="1"/>
  <c r="I69" i="18" l="1"/>
  <c r="I67" i="18" s="1"/>
</calcChain>
</file>

<file path=xl/sharedStrings.xml><?xml version="1.0" encoding="utf-8"?>
<sst xmlns="http://schemas.openxmlformats.org/spreadsheetml/2006/main" count="317" uniqueCount="196">
  <si>
    <t>CARGO</t>
  </si>
  <si>
    <t>CATEGORÍA</t>
  </si>
  <si>
    <t>TOPE MÁXIMO SALARIO</t>
  </si>
  <si>
    <t>PROFESIONAL (Años)</t>
  </si>
  <si>
    <t>EXPERIENCIA ESPECIFICA (Años)</t>
  </si>
  <si>
    <t>TARIFA MES - PROFESIONAL (INCLUYE FACTOR DE PRESTACIONES)</t>
  </si>
  <si>
    <t>Mínimo 4</t>
  </si>
  <si>
    <t>Mínimo 3</t>
  </si>
  <si>
    <t>Mínimo 1</t>
  </si>
  <si>
    <t>TARIFA MES - PROFESIONAL  (INCLUYE FACTOR DE PRESTACIONES)</t>
  </si>
  <si>
    <t>Mínimo 2</t>
  </si>
  <si>
    <t>Hasta 2</t>
  </si>
  <si>
    <t>TARIFA MES - PERSONAL TÉCNICO - TECNÓLOGO EN ÁREAS DE INGENIERÍA (INCLUYE FACTOR DE PRESTACIONES)</t>
  </si>
  <si>
    <t>TARIFA MES - PERSONAL AUXILIAR TÉCNICO - SECRETARIA - CONDUCTOR O MOTORISTA (INCLUYE FACTOR DE PRESTACIONES)</t>
  </si>
  <si>
    <t>TARIFA MES - PERSONAL TÉCNICO - CELADOR  Incluye prestaciones de ley.</t>
  </si>
  <si>
    <t>TARIFA GLOBAL - GASTOS OFICINA (PAPELERIA, FOTOCOPIAS Y OTROS)</t>
  </si>
  <si>
    <t>GLB</t>
  </si>
  <si>
    <t>Alquiler PORTÁTILES - Procesador minimo: intel, Core i3 4005U, celeron o similar, Memoria RAM de 4 GB(2x2048 MB) Disco duro de 500gb a 7200 rpm Pantalla LED HP BrightView widescreen alta definición con 35,6 cm</t>
  </si>
  <si>
    <t>UN/MES</t>
  </si>
  <si>
    <t>Servicio de telefonia local e internet ilimitado velocidad entre (80y 500MB)</t>
  </si>
  <si>
    <t>MES</t>
  </si>
  <si>
    <t>TARIFA - EDICION DE INFORME MENSUAL  incluye 4 tapas plastificadas tamaño carta color blanco, con 6 tornillos, hojas de papel bond tamaño carta 75 gramos, 170 folios por informe.</t>
  </si>
  <si>
    <t xml:space="preserve">UN/MES </t>
  </si>
  <si>
    <t xml:space="preserve">Ensayos de resistencia a la compresion </t>
  </si>
  <si>
    <t>UN</t>
  </si>
  <si>
    <t>ALQ.BAÑO PORTATIL(TRANSP+8 ASEOS+INSUM)S/DESC-TECN</t>
  </si>
  <si>
    <t>mes</t>
  </si>
  <si>
    <t>NOTA: LOS PRECIOS PARA ESTE CONTROL DE INVERSION FUERON TOMADOS DEL IDRD APUS 2023 y VISOR IDU 2023</t>
  </si>
  <si>
    <t xml:space="preserve">FONDO DE DESARROLLO LOCAL DE KENNEDY </t>
  </si>
  <si>
    <t>CONTROL DE INVERSIÓN GESTION SOCIAL, AMBIENTAL, SEGUIRDAD Y SALUD EN EL TRABAJO PARA OBRA</t>
  </si>
  <si>
    <t xml:space="preserve">OBJETO DEL CONTRATO </t>
  </si>
  <si>
    <t>REALIZAR A PRECIOS UNITARIOS FIJOS LA APROPIACIÓN DE ESTUDIOS Y DISEÑOS, TRÁMITE DE LICENCIA DE CONSTRUCCIÓN Y OBRAS DE CONSTRUCCIÓN DE UNA SEDE DE SALÓN COMUNAL, EN EL MARCO DEL PROYECTO 2173: KENNEDY FORTALECE LA PARTICIPACION CIUDADANA</t>
  </si>
  <si>
    <t>COMPONTE A. GESTION SOCIAL</t>
  </si>
  <si>
    <t>ÍTEMS</t>
  </si>
  <si>
    <t>ESPECIFICACIÓN</t>
  </si>
  <si>
    <t>UN.</t>
  </si>
  <si>
    <t>CANTIDAD</t>
  </si>
  <si>
    <t>VALOR UNITARIO</t>
  </si>
  <si>
    <t>VALOR TOTAL</t>
  </si>
  <si>
    <t>FUENTE</t>
  </si>
  <si>
    <t>A 1</t>
  </si>
  <si>
    <t>COMUNICACIÓN  A LA COMUNIDAD</t>
  </si>
  <si>
    <t>REUNION DE SOCIALIZACIÓN</t>
  </si>
  <si>
    <t>VIDEO BEAM - ALQUILER POR DIA</t>
  </si>
  <si>
    <t>DIA</t>
  </si>
  <si>
    <t>DIVULGACIÓN DE INFORMACIÓN</t>
  </si>
  <si>
    <t>VOLANTES 1/2 CARTA POLICROMIA DE 115 gr</t>
  </si>
  <si>
    <t>IDENTIFICACION DE LA OBRA</t>
  </si>
  <si>
    <t>VALLA  DE 1.20 m X 1.20 m EN LAMINA GALVANIZADA CALIBRE 20, ANGULO EN HIERRO DE 2 x  1-1/8" IMPRESO EN VINILO ADHESIVO. Incluye suministro e instalacion. Impresión 720 DPI: Tintas para exteriores.</t>
  </si>
  <si>
    <t xml:space="preserve">UN </t>
  </si>
  <si>
    <t>IDU</t>
  </si>
  <si>
    <t>SUBTOTAL COMPONENTE A</t>
  </si>
  <si>
    <t>COMPONTE B. AMBIENTAL</t>
  </si>
  <si>
    <t>B 1</t>
  </si>
  <si>
    <t xml:space="preserve"> MANEJO DE CAMPAMENTOS Y CENTROS DE ACOPIO</t>
  </si>
  <si>
    <t>CANECAS PARA CAMPAMENTOS Y FRENTES DE OBRA</t>
  </si>
  <si>
    <t xml:space="preserve">CANECA PLASTICA NEGRA DE 55 GALONES CON TAPA PLANA </t>
  </si>
  <si>
    <t>SUBTOTAL DEL PROGRAMA</t>
  </si>
  <si>
    <t>B 2</t>
  </si>
  <si>
    <t>MANEJO DE MATERIALES DE CONSTRUCCIÓN</t>
  </si>
  <si>
    <t>PUNTO DE ACOPIO DE MATERIALES</t>
  </si>
  <si>
    <t>PLASTICO NEGRO CALIBRE 6</t>
  </si>
  <si>
    <t>M2</t>
  </si>
  <si>
    <t xml:space="preserve">SEÑALIZACION TUBULAR COLOMBINA PLASTICA </t>
  </si>
  <si>
    <t>CINTA PARA SEÑALIZACION DE 500MT X 4" PELIGRO. CALIBRE 3,5</t>
  </si>
  <si>
    <t>ROLLO</t>
  </si>
  <si>
    <t>B 3</t>
  </si>
  <si>
    <t>MANEJO INTEGRAL DE RESIDUOS SÓLIDOS</t>
  </si>
  <si>
    <t>RECOLECIÓN DE RESIDUOS</t>
  </si>
  <si>
    <t>CEPILLO INDUSTRIAL DE NYLON CON CABO DE 35 CM A 42 CM X 9CM X 17 CM</t>
  </si>
  <si>
    <t>GUANTE NITRILO 13" RESISTENTE CONTRA QUIMICOS COMBUSTIBLES SOLVENTES GRASAS</t>
  </si>
  <si>
    <t>PAR</t>
  </si>
  <si>
    <t>CHALECO REFLECTIVO EN TELA</t>
  </si>
  <si>
    <t xml:space="preserve">GAFAS DE SEGURIDAD </t>
  </si>
  <si>
    <t xml:space="preserve">BOLSA PARA BASURA TIPO INDUSTRIAL NEGRA DE 60X90 CM CALIBRE 2 ( PAQUETE DE 30 UNIDADES) </t>
  </si>
  <si>
    <t>SUBTOTAL COMPONENTE B</t>
  </si>
  <si>
    <t>C1</t>
  </si>
  <si>
    <t>MANEJO INTEGRAL DE CUERPOS DE AGUA</t>
  </si>
  <si>
    <t>SUBTOTAL COMPONENTE C</t>
  </si>
  <si>
    <t>COMPONENTE C.   GESTIÓN EN SEGURIDAD Y SALUD EN EL TRABAJO</t>
  </si>
  <si>
    <t>D1</t>
  </si>
  <si>
    <t>SEGURIDAD Y SALUD EN EL TRABAJO</t>
  </si>
  <si>
    <t>BOTIQUIN PRIMEROS AUXILIOS CON MEDICAMENTO DE 22CM X 27CM</t>
  </si>
  <si>
    <t>CAMILLA FIBRA CON ARNES - INMOVILIZADOR Y SEÑAL</t>
  </si>
  <si>
    <t xml:space="preserve">EXTINTOR POLVO QUIMICO SECO DE 20 LB TIPO ABC METALICO CON GANCHO Y AVISO </t>
  </si>
  <si>
    <t xml:space="preserve">BOTA CUERO LISA NEGRA SEGURIDAD PUNTERA DE ACERO </t>
  </si>
  <si>
    <t xml:space="preserve">PROTECTOR AUDITIVO TIPO TAPON INSERCION EN SILICONA CON CORDEL EN ESTUCHO </t>
  </si>
  <si>
    <t xml:space="preserve">CASCO DE SEGURIDAD DIELECTRICO </t>
  </si>
  <si>
    <t xml:space="preserve">BARBUQUEJO EN REATA CON MENTONERA CON TRES APOYOS PARA CASCO </t>
  </si>
  <si>
    <t>GUANTE DE VAQUETA</t>
  </si>
  <si>
    <t xml:space="preserve">ARNES MULTIPROPOSITO CON ESLINGA - 4 ANILLOS - PARA RESTRICCION Y DETECCION DE CAIDAS CON PUNTO FIJO </t>
  </si>
  <si>
    <t xml:space="preserve">OVEROL EN DRILL DOS PIEZAS, CAMISA Y PANTALON </t>
  </si>
  <si>
    <t>ALCOHOL ANTISEPTICO (ALCOHOL AL 70%)</t>
  </si>
  <si>
    <t xml:space="preserve">GLN </t>
  </si>
  <si>
    <t>TOALLAS DE PAPEL PARA MANOS. TIPO Z. (PAQUETE 150 HOJAS)</t>
  </si>
  <si>
    <t xml:space="preserve">TAPABOCAS DESECHABLE </t>
  </si>
  <si>
    <t xml:space="preserve">JABON LIQUIDO PARA MANOS </t>
  </si>
  <si>
    <t xml:space="preserve">GUANTE NITRILO 13" RESISTENTE CONTRA QUIMICOS COMBUSTIBLES SOLVENTES GRASAS </t>
  </si>
  <si>
    <t>EXÁMENES OCUPACIONALES</t>
  </si>
  <si>
    <t xml:space="preserve">EXAMEN MEDICO OCUPACIONAL DE INGRESO O RETIRO </t>
  </si>
  <si>
    <t xml:space="preserve">EXAMEN DE AUDIOMETRIA DE INGRESO O EGRESO </t>
  </si>
  <si>
    <t xml:space="preserve">EXAMEN DE OPTOMETRIA DE INGRESO O EGRESO </t>
  </si>
  <si>
    <t>EXAMEN DE ESPIROMETRIA DE INGRESO O EGRESO</t>
  </si>
  <si>
    <t>SUBTOTAL COMPONENTES A+B+C+D</t>
  </si>
  <si>
    <t xml:space="preserve">A.I.U. </t>
  </si>
  <si>
    <t>VALOR GLOBAL AMBIENTAL CON AIU : TOTAL COMPONENTES A+B+C+D</t>
  </si>
  <si>
    <t>NOTA: LOS PRECIOS PARA ESTE CONTROL DE INVERSION FUERON TOMADOS DEL IDU, PRECIOS UNITARIOS DE REFERENCIA 2022 - II Y MANO DE OBRA 2023</t>
  </si>
  <si>
    <t>CONTROL DE INVERSIÓN GESTION AMBIENTAL, SEGUIRDAD Y SALUD EN EL TRABAJO PARA OBRA</t>
  </si>
  <si>
    <t>MATRIZ PARA CÁLCULO DE AIU- AMBIENTAL</t>
  </si>
  <si>
    <t>SUBTOTAL COMPONENTES A+C+D+E+F</t>
  </si>
  <si>
    <t>FECHA:</t>
  </si>
  <si>
    <t>TERMINO ESTIMADO DE EJECUCIÓN DE OBRA</t>
  </si>
  <si>
    <t>MESES</t>
  </si>
  <si>
    <t>CONTRATO No.</t>
  </si>
  <si>
    <t>1. IMPUESTOS Y GARANTÍAS</t>
  </si>
  <si>
    <t>IMPUESTOS</t>
  </si>
  <si>
    <t>ÍTEM</t>
  </si>
  <si>
    <t>DESCRIPCIÓN</t>
  </si>
  <si>
    <t>IMPUESTO</t>
  </si>
  <si>
    <t>VALOR ($)</t>
  </si>
  <si>
    <t>Contribución Especial (Impuesto de Guerra Ley 1738 DIC18-2014 prorroga 4 años)</t>
  </si>
  <si>
    <t>RETEICA (Ley 14 6jul1983, Res 219 25feb2004)</t>
  </si>
  <si>
    <t>RETEFUENTE</t>
  </si>
  <si>
    <t>Estampilla Unipedagógica (Dec 584 de 19 dic 2014)</t>
  </si>
  <si>
    <t>SUBTOTAL IMPUESTOS</t>
  </si>
  <si>
    <t>GARANTIAS</t>
  </si>
  <si>
    <t>VR. BASE</t>
  </si>
  <si>
    <t>% ASEGURADO</t>
  </si>
  <si>
    <t>VIGENCIA AMPARO (MESES)</t>
  </si>
  <si>
    <t>TASA ASEGURADORA</t>
  </si>
  <si>
    <t>Cumplimiento</t>
  </si>
  <si>
    <t>GARANTIA UNICA</t>
  </si>
  <si>
    <t>Salarios y Prestaciones Sociales</t>
  </si>
  <si>
    <t xml:space="preserve">Estabilidad y Calidad de la Obra </t>
  </si>
  <si>
    <t>Predios, labores y Operaciones- Vigencia (Decreto 1082 de 2015 Sección III)</t>
  </si>
  <si>
    <t>RESPONSABILIDAD CIVIL EXTRACONTRACTUAL</t>
  </si>
  <si>
    <t>200 SMMLV</t>
  </si>
  <si>
    <t>SUBTOTAL GARANTÍAS</t>
  </si>
  <si>
    <t>TOTAL IMPUESTOS Y GARANTÍAS</t>
  </si>
  <si>
    <t>TOTAL IMPUESTOS Y GARANTÍAS EN PORCENTAJE DEL COSTO DIRECTO</t>
  </si>
  <si>
    <t>A. ADMINISTRACIÓN (1 + 2 + 3)</t>
  </si>
  <si>
    <t xml:space="preserve">I. IMPREVISTOS </t>
  </si>
  <si>
    <t>U. UTILIDAD</t>
  </si>
  <si>
    <t>A.I.U. (ADMINISTRACIÓN, IMPREVISTOS Y UTILIDAD)</t>
  </si>
  <si>
    <t xml:space="preserve">MATRIZ PARA CALCULO AIU </t>
  </si>
  <si>
    <t>FECHA DE DILIGENCIAMIENTO</t>
  </si>
  <si>
    <t>SUBDIRECCIÓN GENERAL</t>
  </si>
  <si>
    <t>DE INFRAESTRUCTURA</t>
  </si>
  <si>
    <t>OBJETO DEL CONTRATO</t>
  </si>
  <si>
    <t>DIRECCIÓN TÉCNICA</t>
  </si>
  <si>
    <t xml:space="preserve"> DE PROYECTOS</t>
  </si>
  <si>
    <t>COSTO DIRECTO ESTIMADO DE OBRA (CD)</t>
  </si>
  <si>
    <t xml:space="preserve">COSTO DIRECTO ESTIMADO COMPONENTES </t>
  </si>
  <si>
    <t>COSTO ESTIMADO PARA AJUSTE</t>
  </si>
  <si>
    <t>A. ADMINISTRACIÓN</t>
  </si>
  <si>
    <t>1. COSTOS MENSUALES DE PERSONAL</t>
  </si>
  <si>
    <t>#</t>
  </si>
  <si>
    <t>DEDICACIÓN
MES</t>
  </si>
  <si>
    <t>TOPE SALARIO</t>
  </si>
  <si>
    <t>SALARIO - INCLUIDO  PRESTACIONES</t>
  </si>
  <si>
    <t>A</t>
  </si>
  <si>
    <t>B</t>
  </si>
  <si>
    <t>C</t>
  </si>
  <si>
    <t xml:space="preserve">E = A * B * C </t>
  </si>
  <si>
    <t>1.1 PERSONAL PROFESIONAL (Ingenieros y Otros)</t>
  </si>
  <si>
    <t>DIRECTOR DE OBRA</t>
  </si>
  <si>
    <t>IDRD</t>
  </si>
  <si>
    <t>INGENIERO RESIDENTE DE OBRA</t>
  </si>
  <si>
    <t xml:space="preserve">PROFESIONAL AMBIENTAL </t>
  </si>
  <si>
    <t xml:space="preserve">TECNOLOGO EN SEGURIDAD Y SALUD EN EL TRABAJO </t>
  </si>
  <si>
    <t xml:space="preserve">PROFESIONAL SOCIAL </t>
  </si>
  <si>
    <t xml:space="preserve">PERSONAL TÉCNICO - CELADOR </t>
  </si>
  <si>
    <t>SUBTOTAL COSTOS MENSUALES DE PERSONAL</t>
  </si>
  <si>
    <t>2. GASTOS OPERACIONALES MENSUALES</t>
  </si>
  <si>
    <t>DEDICACION</t>
  </si>
  <si>
    <t>UNIDAD</t>
  </si>
  <si>
    <t>COSTO ($/MES)</t>
  </si>
  <si>
    <t>PORTATIL. Procesador minimo Intel, core i3 4005U. Celeron o similar, Memoria RAM 4 GB (2 x 2048 MB) Disco duro de 500 gb a 7200 rpm. Pantalla LED HP BrightView widescreen de alta defincion con 35,6 cm</t>
  </si>
  <si>
    <t>TARIFA- EDICION DE INFORME MENSUAL  incluye 4 tapas plastificadas tamaño carta color blanco, con 6 tornillos, hojas de papel bond tamaño carta 75 gramos, 170 folios por informe.</t>
  </si>
  <si>
    <t>Servicio de telefonia local e internet ilimitado velocidad entre (80 y 500MB)</t>
  </si>
  <si>
    <t>SUBTOTAL GASTOS OPERACIONALES MENSUALES</t>
  </si>
  <si>
    <t>TOTAL COSTOS PERSONAL + GASTOS OPERACIONALES POR EL TÉRMINO DE EJECUCIÓN</t>
  </si>
  <si>
    <t>TOTAL COSTOS PERSONAL + GASTOS OPERACIONALES POR EL TÉRMINO DE EJECUCIÓN EN PORCENTAJE DEL COSTO DIRECTO</t>
  </si>
  <si>
    <t>3. IMPUESTOS Y GARANTÍAS</t>
  </si>
  <si>
    <t>3.1 IMPUESTOS</t>
  </si>
  <si>
    <t>Contribucion Especial (Impuestos de Guerra Ley 1738 DIC 18-2014 prorroga 4 años</t>
  </si>
  <si>
    <t>RETEICA (Ley 14 6 julio 1983, Res 219 25 Febrero 2004)</t>
  </si>
  <si>
    <t xml:space="preserve">RETEFUENTE </t>
  </si>
  <si>
    <t>Estampilla Unipedagogica (Dec 584 de 19 Dic 2014)</t>
  </si>
  <si>
    <t>3.2 GARANTIAS</t>
  </si>
  <si>
    <t>CUMPLIMIENTO</t>
  </si>
  <si>
    <t>SALARIOS Y PRESTACIONES SOCIALES</t>
  </si>
  <si>
    <t xml:space="preserve">ESTABILIDAD Y CALIDAD DE LA OBRA </t>
  </si>
  <si>
    <t>PREDIOS, LABORES Y OPERACIONES - VIGENCIA (DECRETO 1082 DE 2015 SECCION III)</t>
  </si>
  <si>
    <t>A. ADMINISTRACIÓN  OBRA (1 + 2 + 3 )</t>
  </si>
  <si>
    <t>A. ADMINISTRACION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</si>
</sst>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2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-&quot;$&quot;* #,##0_-;\-&quot;$&quot;* #,##0_-;_-&quot;$&quot;* &quot;-&quot;_-;_-@_-"/>
    <numFmt numFmtId="166" formatCode="0.0"/>
    <numFmt numFmtId="167" formatCode="[$$-240A]\ #,##0.0"/>
    <numFmt numFmtId="168" formatCode="[$$-240A]\ #,##0"/>
    <numFmt numFmtId="169" formatCode="_(* #,##0.00_);_(* \(#,##0.00\);_(* &quot;-&quot;??_);_(@_)"/>
    <numFmt numFmtId="170" formatCode="_ * #,##0.0_ ;_ * \-#,##0.0_ ;_ * &quot;-&quot;??_ ;_ @_ "/>
    <numFmt numFmtId="171" formatCode="_-* #,##0_-;\-* #,##0_-;_-* &quot;-&quot;??_-;_-@_-"/>
    <numFmt numFmtId="172" formatCode="[$$-240A]\ #,##0.00"/>
    <numFmt numFmtId="173" formatCode="&quot;$&quot;\ #,##0.0"/>
    <numFmt numFmtId="174" formatCode="&quot;$&quot;\ #,##0.00"/>
    <numFmt numFmtId="175" formatCode="[$$-240A]#,##0.00;[Red]\([$$-240A]#,##0.00\)"/>
    <numFmt numFmtId="176" formatCode="0.000"/>
    <numFmt numFmtId="177" formatCode="#,##0.00;[Red]#,##0.00"/>
    <numFmt numFmtId="178" formatCode="#,##0.0000"/>
    <numFmt numFmtId="179" formatCode="_(&quot;$&quot;\ * #,##0.00_);_(&quot;$&quot;\ * \(#,##0.00\);_(&quot;$&quot;\ * &quot;-&quot;??_);_(@_)"/>
    <numFmt numFmtId="180" formatCode="&quot;$&quot;#,##0"/>
    <numFmt numFmtId="181" formatCode="[$$-240A]\ #,##0.00;[Red][$$-240A]\ #,##0.00"/>
    <numFmt numFmtId="182" formatCode="#,##0.0;[Red]#,##0.0"/>
    <numFmt numFmtId="183" formatCode="0.000000%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0"/>
      <color indexed="12"/>
      <name val="Arial Narrow"/>
      <family val="2"/>
    </font>
    <font>
      <sz val="10"/>
      <color theme="1"/>
      <name val="Garamond"/>
      <family val="1"/>
    </font>
    <font>
      <b/>
      <sz val="10"/>
      <color theme="1"/>
      <name val="Garamond"/>
      <family val="1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b/>
      <sz val="10"/>
      <color indexed="8"/>
      <name val="Garamond"/>
      <family val="1"/>
    </font>
    <font>
      <b/>
      <sz val="10"/>
      <name val="Garamond"/>
      <family val="1"/>
    </font>
    <font>
      <sz val="10"/>
      <name val="Garamond"/>
      <family val="1"/>
    </font>
    <font>
      <sz val="8"/>
      <name val="Arial"/>
      <family val="2"/>
    </font>
    <font>
      <sz val="8"/>
      <color theme="1"/>
      <name val="Arial"/>
      <family val="2"/>
    </font>
    <font>
      <sz val="8"/>
      <color rgb="FFFF0000"/>
      <name val="Arial"/>
      <family val="2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theme="3"/>
      </left>
      <right style="hair">
        <color theme="3"/>
      </right>
      <top/>
      <bottom style="hair">
        <color theme="3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4">
    <xf numFmtId="0" fontId="0" fillId="0" borderId="0"/>
    <xf numFmtId="165" fontId="1" fillId="0" borderId="0" applyFont="0" applyFill="0" applyBorder="0" applyAlignment="0" applyProtection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7" fillId="0" borderId="0"/>
    <xf numFmtId="0" fontId="7" fillId="0" borderId="0" applyBorder="0"/>
    <xf numFmtId="0" fontId="7" fillId="0" borderId="0"/>
    <xf numFmtId="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0" borderId="0"/>
    <xf numFmtId="0" fontId="7" fillId="0" borderId="0"/>
    <xf numFmtId="0" fontId="7" fillId="0" borderId="0"/>
    <xf numFmtId="9" fontId="7" fillId="0" borderId="0" applyFill="0" applyBorder="0" applyAlignment="0" applyProtection="0"/>
    <xf numFmtId="0" fontId="7" fillId="0" borderId="0"/>
    <xf numFmtId="0" fontId="7" fillId="0" borderId="0"/>
    <xf numFmtId="0" fontId="7" fillId="0" borderId="0"/>
    <xf numFmtId="17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20">
    <xf numFmtId="0" fontId="0" fillId="0" borderId="0" xfId="0"/>
    <xf numFmtId="0" fontId="4" fillId="0" borderId="0" xfId="0" applyFont="1"/>
    <xf numFmtId="0" fontId="10" fillId="3" borderId="1" xfId="8" applyFont="1" applyFill="1" applyBorder="1" applyAlignment="1">
      <alignment horizontal="center" vertical="center"/>
    </xf>
    <xf numFmtId="167" fontId="10" fillId="3" borderId="1" xfId="8" applyNumberFormat="1" applyFont="1" applyFill="1" applyBorder="1" applyAlignment="1">
      <alignment horizontal="center" vertical="center" wrapText="1"/>
    </xf>
    <xf numFmtId="168" fontId="10" fillId="3" borderId="1" xfId="8" applyNumberFormat="1" applyFont="1" applyFill="1" applyBorder="1" applyAlignment="1">
      <alignment horizontal="center" vertical="center" wrapText="1"/>
    </xf>
    <xf numFmtId="0" fontId="10" fillId="0" borderId="1" xfId="8" applyFont="1" applyBorder="1" applyAlignment="1">
      <alignment horizontal="center" vertical="center" wrapText="1"/>
    </xf>
    <xf numFmtId="167" fontId="10" fillId="0" borderId="1" xfId="10" applyNumberFormat="1" applyFont="1" applyBorder="1" applyAlignment="1">
      <alignment horizontal="right" vertical="center"/>
    </xf>
    <xf numFmtId="0" fontId="10" fillId="3" borderId="2" xfId="6" applyFont="1" applyFill="1" applyBorder="1" applyAlignment="1">
      <alignment horizontal="center" vertical="center"/>
    </xf>
    <xf numFmtId="0" fontId="10" fillId="0" borderId="1" xfId="6" applyFont="1" applyBorder="1" applyAlignment="1">
      <alignment horizontal="center" vertical="center" wrapText="1"/>
    </xf>
    <xf numFmtId="0" fontId="11" fillId="0" borderId="1" xfId="6" applyFont="1" applyBorder="1" applyAlignment="1">
      <alignment horizontal="justify" vertical="center" wrapText="1"/>
    </xf>
    <xf numFmtId="171" fontId="11" fillId="0" borderId="1" xfId="12" applyNumberFormat="1" applyFont="1" applyBorder="1" applyAlignment="1">
      <alignment horizontal="center" vertical="center"/>
    </xf>
    <xf numFmtId="171" fontId="11" fillId="0" borderId="1" xfId="12" applyNumberFormat="1" applyFont="1" applyFill="1" applyBorder="1" applyAlignment="1">
      <alignment horizontal="center" vertical="center"/>
    </xf>
    <xf numFmtId="0" fontId="10" fillId="5" borderId="1" xfId="8" applyFont="1" applyFill="1" applyBorder="1" applyAlignment="1">
      <alignment horizontal="center" vertical="center" wrapText="1"/>
    </xf>
    <xf numFmtId="2" fontId="10" fillId="0" borderId="1" xfId="8" applyNumberFormat="1" applyFont="1" applyBorder="1" applyAlignment="1">
      <alignment horizontal="center" vertical="center"/>
    </xf>
    <xf numFmtId="0" fontId="11" fillId="0" borderId="0" xfId="6" applyFont="1" applyAlignment="1">
      <alignment vertical="center"/>
    </xf>
    <xf numFmtId="0" fontId="11" fillId="0" borderId="0" xfId="6" applyFont="1" applyAlignment="1">
      <alignment horizontal="center" vertical="center"/>
    </xf>
    <xf numFmtId="166" fontId="11" fillId="0" borderId="1" xfId="7" applyNumberFormat="1" applyFont="1" applyBorder="1" applyAlignment="1">
      <alignment horizontal="center" vertical="center" wrapText="1"/>
    </xf>
    <xf numFmtId="0" fontId="10" fillId="3" borderId="4" xfId="8" applyFont="1" applyFill="1" applyBorder="1" applyAlignment="1">
      <alignment horizontal="center" vertical="center"/>
    </xf>
    <xf numFmtId="0" fontId="10" fillId="3" borderId="4" xfId="6" applyFont="1" applyFill="1" applyBorder="1" applyAlignment="1">
      <alignment horizontal="center" vertical="center" wrapText="1"/>
    </xf>
    <xf numFmtId="173" fontId="11" fillId="0" borderId="1" xfId="11" applyNumberFormat="1" applyFont="1" applyBorder="1" applyAlignment="1">
      <alignment horizontal="right" vertical="center" wrapText="1"/>
    </xf>
    <xf numFmtId="173" fontId="10" fillId="0" borderId="1" xfId="10" applyNumberFormat="1" applyFont="1" applyFill="1" applyBorder="1" applyAlignment="1">
      <alignment horizontal="right" vertical="center"/>
    </xf>
    <xf numFmtId="173" fontId="11" fillId="0" borderId="1" xfId="11" applyNumberFormat="1" applyFont="1" applyFill="1" applyBorder="1" applyAlignment="1">
      <alignment horizontal="right" vertical="center" wrapText="1"/>
    </xf>
    <xf numFmtId="174" fontId="10" fillId="0" borderId="1" xfId="11" applyNumberFormat="1" applyFont="1" applyBorder="1" applyAlignment="1">
      <alignment horizontal="right" vertical="center" wrapText="1"/>
    </xf>
    <xf numFmtId="170" fontId="10" fillId="3" borderId="4" xfId="11" applyNumberFormat="1" applyFont="1" applyFill="1" applyBorder="1" applyAlignment="1">
      <alignment horizontal="center" vertical="center" wrapText="1"/>
    </xf>
    <xf numFmtId="172" fontId="11" fillId="0" borderId="1" xfId="8" applyNumberFormat="1" applyFont="1" applyBorder="1" applyAlignment="1">
      <alignment horizontal="right" vertical="center" wrapText="1"/>
    </xf>
    <xf numFmtId="0" fontId="10" fillId="3" borderId="1" xfId="6" applyFont="1" applyFill="1" applyBorder="1" applyAlignment="1">
      <alignment horizontal="center" vertical="center"/>
    </xf>
    <xf numFmtId="0" fontId="10" fillId="3" borderId="1" xfId="6" applyFont="1" applyFill="1" applyBorder="1" applyAlignment="1">
      <alignment horizontal="center" vertical="center" wrapText="1"/>
    </xf>
    <xf numFmtId="170" fontId="10" fillId="3" borderId="1" xfId="11" applyNumberFormat="1" applyFont="1" applyFill="1" applyBorder="1" applyAlignment="1">
      <alignment horizontal="center" vertical="center" wrapText="1"/>
    </xf>
    <xf numFmtId="173" fontId="10" fillId="0" borderId="1" xfId="10" applyNumberFormat="1" applyFont="1" applyBorder="1" applyAlignment="1">
      <alignment horizontal="right" vertical="center"/>
    </xf>
    <xf numFmtId="0" fontId="4" fillId="0" borderId="1" xfId="0" applyFont="1" applyBorder="1"/>
    <xf numFmtId="0" fontId="8" fillId="2" borderId="6" xfId="16" applyFont="1" applyFill="1" applyBorder="1" applyAlignment="1">
      <alignment horizontal="center" vertical="center" wrapText="1"/>
    </xf>
    <xf numFmtId="10" fontId="12" fillId="5" borderId="6" xfId="16" applyNumberFormat="1" applyFont="1" applyFill="1" applyBorder="1" applyAlignment="1">
      <alignment horizontal="center" vertical="center" wrapText="1"/>
    </xf>
    <xf numFmtId="0" fontId="11" fillId="0" borderId="10" xfId="6" applyFont="1" applyBorder="1" applyAlignment="1">
      <alignment vertical="center"/>
    </xf>
    <xf numFmtId="0" fontId="10" fillId="0" borderId="17" xfId="6" applyFont="1" applyBorder="1" applyAlignment="1">
      <alignment vertical="center"/>
    </xf>
    <xf numFmtId="0" fontId="11" fillId="0" borderId="23" xfId="6" applyFont="1" applyBorder="1" applyAlignment="1">
      <alignment vertical="center"/>
    </xf>
    <xf numFmtId="0" fontId="10" fillId="0" borderId="20" xfId="6" applyFont="1" applyBorder="1" applyAlignment="1">
      <alignment vertical="center"/>
    </xf>
    <xf numFmtId="10" fontId="10" fillId="0" borderId="1" xfId="16" applyNumberFormat="1" applyFont="1" applyBorder="1" applyAlignment="1">
      <alignment horizontal="center" vertical="center"/>
    </xf>
    <xf numFmtId="0" fontId="10" fillId="0" borderId="21" xfId="16" applyFont="1" applyBorder="1" applyAlignment="1">
      <alignment horizontal="center" vertical="center"/>
    </xf>
    <xf numFmtId="0" fontId="10" fillId="2" borderId="1" xfId="16" applyFont="1" applyFill="1" applyBorder="1" applyAlignment="1">
      <alignment horizontal="center" vertical="center"/>
    </xf>
    <xf numFmtId="0" fontId="10" fillId="2" borderId="1" xfId="16" applyFont="1" applyFill="1" applyBorder="1" applyAlignment="1">
      <alignment horizontal="center" vertical="center" wrapText="1"/>
    </xf>
    <xf numFmtId="0" fontId="10" fillId="2" borderId="5" xfId="16" applyFont="1" applyFill="1" applyBorder="1" applyAlignment="1">
      <alignment horizontal="left" vertical="center" wrapText="1"/>
    </xf>
    <xf numFmtId="0" fontId="11" fillId="2" borderId="5" xfId="16" applyFont="1" applyFill="1" applyBorder="1" applyAlignment="1">
      <alignment vertical="center" wrapText="1"/>
    </xf>
    <xf numFmtId="0" fontId="11" fillId="2" borderId="6" xfId="16" applyFont="1" applyFill="1" applyBorder="1" applyAlignment="1">
      <alignment vertical="center" wrapText="1"/>
    </xf>
    <xf numFmtId="0" fontId="10" fillId="2" borderId="4" xfId="16" applyFont="1" applyFill="1" applyBorder="1" applyAlignment="1">
      <alignment horizontal="center" vertical="center" wrapText="1"/>
    </xf>
    <xf numFmtId="176" fontId="11" fillId="0" borderId="1" xfId="16" applyNumberFormat="1" applyFont="1" applyBorder="1" applyAlignment="1">
      <alignment horizontal="center" vertical="center"/>
    </xf>
    <xf numFmtId="10" fontId="11" fillId="5" borderId="4" xfId="16" applyNumberFormat="1" applyFont="1" applyFill="1" applyBorder="1" applyAlignment="1">
      <alignment horizontal="center" vertical="center" wrapText="1"/>
    </xf>
    <xf numFmtId="175" fontId="11" fillId="0" borderId="1" xfId="16" applyNumberFormat="1" applyFont="1" applyBorder="1" applyAlignment="1">
      <alignment horizontal="right" vertical="center" wrapText="1"/>
    </xf>
    <xf numFmtId="0" fontId="11" fillId="0" borderId="0" xfId="16" applyFont="1" applyAlignment="1">
      <alignment horizontal="center" vertical="center"/>
    </xf>
    <xf numFmtId="175" fontId="10" fillId="0" borderId="1" xfId="16" applyNumberFormat="1" applyFont="1" applyBorder="1" applyAlignment="1">
      <alignment vertical="center"/>
    </xf>
    <xf numFmtId="37" fontId="10" fillId="0" borderId="0" xfId="16" applyNumberFormat="1" applyFont="1" applyAlignment="1">
      <alignment vertical="center"/>
    </xf>
    <xf numFmtId="0" fontId="11" fillId="0" borderId="1" xfId="16" applyFont="1" applyBorder="1" applyAlignment="1">
      <alignment vertical="center" wrapText="1"/>
    </xf>
    <xf numFmtId="177" fontId="11" fillId="0" borderId="1" xfId="16" applyNumberFormat="1" applyFont="1" applyBorder="1" applyAlignment="1">
      <alignment horizontal="center" vertical="center" wrapText="1"/>
    </xf>
    <xf numFmtId="10" fontId="11" fillId="0" borderId="4" xfId="16" applyNumberFormat="1" applyFont="1" applyBorder="1" applyAlignment="1">
      <alignment horizontal="center" vertical="center" wrapText="1"/>
    </xf>
    <xf numFmtId="0" fontId="11" fillId="0" borderId="1" xfId="16" applyFont="1" applyBorder="1" applyAlignment="1">
      <alignment horizontal="center" vertical="center" wrapText="1"/>
    </xf>
    <xf numFmtId="0" fontId="10" fillId="0" borderId="4" xfId="16" applyFont="1" applyBorder="1" applyAlignment="1">
      <alignment vertical="center"/>
    </xf>
    <xf numFmtId="0" fontId="10" fillId="0" borderId="5" xfId="16" applyFont="1" applyBorder="1" applyAlignment="1">
      <alignment vertical="center"/>
    </xf>
    <xf numFmtId="10" fontId="10" fillId="0" borderId="6" xfId="18" applyNumberFormat="1" applyFont="1" applyBorder="1" applyAlignment="1">
      <alignment horizontal="center" vertical="center"/>
    </xf>
    <xf numFmtId="0" fontId="10" fillId="0" borderId="0" xfId="16" applyFont="1" applyAlignment="1">
      <alignment horizontal="center" vertical="center"/>
    </xf>
    <xf numFmtId="10" fontId="10" fillId="0" borderId="1" xfId="8" applyNumberFormat="1" applyFont="1" applyBorder="1" applyAlignment="1">
      <alignment vertical="center" wrapText="1"/>
    </xf>
    <xf numFmtId="10" fontId="12" fillId="0" borderId="1" xfId="16" applyNumberFormat="1" applyFont="1" applyBorder="1" applyAlignment="1">
      <alignment horizontal="center" vertical="center" wrapText="1"/>
    </xf>
    <xf numFmtId="0" fontId="12" fillId="0" borderId="0" xfId="21" applyFont="1"/>
    <xf numFmtId="0" fontId="8" fillId="7" borderId="1" xfId="2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" fontId="13" fillId="0" borderId="1" xfId="0" applyNumberFormat="1" applyFont="1" applyBorder="1" applyAlignment="1">
      <alignment horizontal="left" vertical="center" wrapText="1"/>
    </xf>
    <xf numFmtId="0" fontId="12" fillId="0" borderId="1" xfId="21" applyFont="1" applyBorder="1" applyAlignment="1">
      <alignment horizontal="center" vertical="center"/>
    </xf>
    <xf numFmtId="180" fontId="13" fillId="0" borderId="1" xfId="22" applyNumberFormat="1" applyFont="1" applyFill="1" applyBorder="1" applyAlignment="1" applyProtection="1">
      <alignment horizontal="right" vertical="center" wrapText="1"/>
    </xf>
    <xf numFmtId="1" fontId="13" fillId="0" borderId="1" xfId="0" applyNumberFormat="1" applyFont="1" applyBorder="1" applyAlignment="1">
      <alignment horizontal="center" vertical="center" wrapText="1"/>
    </xf>
    <xf numFmtId="0" fontId="13" fillId="0" borderId="1" xfId="21" applyFont="1" applyBorder="1" applyAlignment="1">
      <alignment horizontal="center" vertical="center" wrapText="1"/>
    </xf>
    <xf numFmtId="0" fontId="11" fillId="5" borderId="24" xfId="16" applyFont="1" applyFill="1" applyBorder="1" applyAlignment="1">
      <alignment vertical="center"/>
    </xf>
    <xf numFmtId="0" fontId="11" fillId="5" borderId="0" xfId="16" applyFont="1" applyFill="1" applyAlignment="1">
      <alignment vertical="center"/>
    </xf>
    <xf numFmtId="0" fontId="10" fillId="5" borderId="0" xfId="16" applyFont="1" applyFill="1" applyAlignment="1">
      <alignment vertical="center"/>
    </xf>
    <xf numFmtId="0" fontId="11" fillId="5" borderId="25" xfId="16" applyFont="1" applyFill="1" applyBorder="1" applyAlignment="1">
      <alignment vertical="center"/>
    </xf>
    <xf numFmtId="0" fontId="10" fillId="5" borderId="24" xfId="16" applyFont="1" applyFill="1" applyBorder="1" applyAlignment="1">
      <alignment horizontal="center" vertical="center" wrapText="1"/>
    </xf>
    <xf numFmtId="0" fontId="11" fillId="5" borderId="1" xfId="16" applyFont="1" applyFill="1" applyBorder="1" applyAlignment="1">
      <alignment horizontal="center" vertical="center"/>
    </xf>
    <xf numFmtId="0" fontId="10" fillId="5" borderId="1" xfId="16" applyFont="1" applyFill="1" applyBorder="1" applyAlignment="1">
      <alignment horizontal="center" vertical="center" wrapText="1"/>
    </xf>
    <xf numFmtId="0" fontId="11" fillId="5" borderId="1" xfId="16" applyFont="1" applyFill="1" applyBorder="1" applyAlignment="1">
      <alignment horizontal="center" vertical="center" wrapText="1"/>
    </xf>
    <xf numFmtId="173" fontId="11" fillId="0" borderId="1" xfId="0" applyNumberFormat="1" applyFont="1" applyBorder="1" applyAlignment="1">
      <alignment horizontal="right" vertical="center" wrapText="1"/>
    </xf>
    <xf numFmtId="175" fontId="11" fillId="5" borderId="1" xfId="16" applyNumberFormat="1" applyFont="1" applyFill="1" applyBorder="1" applyAlignment="1">
      <alignment vertical="center"/>
    </xf>
    <xf numFmtId="173" fontId="11" fillId="0" borderId="35" xfId="0" applyNumberFormat="1" applyFont="1" applyBorder="1" applyAlignment="1">
      <alignment horizontal="right" vertical="center" wrapText="1"/>
    </xf>
    <xf numFmtId="173" fontId="11" fillId="0" borderId="1" xfId="16" applyNumberFormat="1" applyFont="1" applyBorder="1" applyAlignment="1">
      <alignment horizontal="right" vertical="center"/>
    </xf>
    <xf numFmtId="0" fontId="11" fillId="0" borderId="1" xfId="16" applyFont="1" applyBorder="1" applyAlignment="1">
      <alignment horizontal="center" vertical="center"/>
    </xf>
    <xf numFmtId="175" fontId="10" fillId="5" borderId="1" xfId="16" applyNumberFormat="1" applyFont="1" applyFill="1" applyBorder="1" applyAlignment="1">
      <alignment vertical="center"/>
    </xf>
    <xf numFmtId="175" fontId="11" fillId="5" borderId="1" xfId="16" applyNumberFormat="1" applyFont="1" applyFill="1" applyBorder="1" applyAlignment="1">
      <alignment horizontal="right" vertical="center"/>
    </xf>
    <xf numFmtId="10" fontId="10" fillId="0" borderId="1" xfId="18" applyNumberFormat="1" applyFont="1" applyBorder="1" applyAlignment="1">
      <alignment horizontal="right" vertical="center"/>
    </xf>
    <xf numFmtId="0" fontId="11" fillId="0" borderId="0" xfId="16" applyFont="1" applyAlignment="1">
      <alignment horizontal="left" vertical="center"/>
    </xf>
    <xf numFmtId="37" fontId="11" fillId="0" borderId="0" xfId="16" applyNumberFormat="1" applyFont="1" applyAlignment="1">
      <alignment vertical="center"/>
    </xf>
    <xf numFmtId="37" fontId="10" fillId="0" borderId="4" xfId="16" applyNumberFormat="1" applyFont="1" applyBorder="1" applyAlignment="1">
      <alignment vertical="center"/>
    </xf>
    <xf numFmtId="37" fontId="10" fillId="0" borderId="5" xfId="16" applyNumberFormat="1" applyFont="1" applyBorder="1" applyAlignment="1">
      <alignment vertical="center"/>
    </xf>
    <xf numFmtId="37" fontId="10" fillId="0" borderId="6" xfId="16" applyNumberFormat="1" applyFont="1" applyBorder="1" applyAlignment="1">
      <alignment vertical="center"/>
    </xf>
    <xf numFmtId="0" fontId="11" fillId="5" borderId="1" xfId="16" applyFont="1" applyFill="1" applyBorder="1" applyAlignment="1">
      <alignment vertical="center" wrapText="1"/>
    </xf>
    <xf numFmtId="0" fontId="10" fillId="0" borderId="1" xfId="16" applyFont="1" applyBorder="1" applyAlignment="1">
      <alignment horizontal="center" vertical="center" wrapText="1"/>
    </xf>
    <xf numFmtId="10" fontId="10" fillId="0" borderId="1" xfId="16" applyNumberFormat="1" applyFont="1" applyBorder="1" applyAlignment="1">
      <alignment vertical="center"/>
    </xf>
    <xf numFmtId="10" fontId="10" fillId="6" borderId="1" xfId="16" applyNumberFormat="1" applyFont="1" applyFill="1" applyBorder="1" applyAlignment="1">
      <alignment horizontal="right" vertical="center"/>
    </xf>
    <xf numFmtId="0" fontId="10" fillId="0" borderId="4" xfId="16" applyFont="1" applyBorder="1" applyAlignment="1">
      <alignment horizontal="left" vertical="center"/>
    </xf>
    <xf numFmtId="0" fontId="10" fillId="0" borderId="5" xfId="16" applyFont="1" applyBorder="1" applyAlignment="1">
      <alignment horizontal="left" vertical="center"/>
    </xf>
    <xf numFmtId="0" fontId="10" fillId="0" borderId="6" xfId="16" applyFont="1" applyBorder="1" applyAlignment="1">
      <alignment horizontal="left" vertical="center"/>
    </xf>
    <xf numFmtId="10" fontId="4" fillId="0" borderId="1" xfId="0" applyNumberFormat="1" applyFont="1" applyBorder="1"/>
    <xf numFmtId="10" fontId="11" fillId="0" borderId="1" xfId="16" applyNumberFormat="1" applyFont="1" applyBorder="1" applyAlignment="1">
      <alignment vertical="center"/>
    </xf>
    <xf numFmtId="10" fontId="10" fillId="0" borderId="6" xfId="16" applyNumberFormat="1" applyFont="1" applyBorder="1" applyAlignment="1">
      <alignment vertical="center"/>
    </xf>
    <xf numFmtId="0" fontId="10" fillId="5" borderId="0" xfId="19" applyFont="1" applyFill="1" applyAlignment="1">
      <alignment horizontal="center" vertical="center" wrapText="1"/>
    </xf>
    <xf numFmtId="0" fontId="10" fillId="5" borderId="0" xfId="16" applyFont="1" applyFill="1" applyAlignment="1">
      <alignment horizontal="center" vertical="center"/>
    </xf>
    <xf numFmtId="0" fontId="10" fillId="5" borderId="0" xfId="19" applyFont="1" applyFill="1" applyAlignment="1">
      <alignment vertical="center" wrapText="1"/>
    </xf>
    <xf numFmtId="0" fontId="10" fillId="5" borderId="0" xfId="16" applyFont="1" applyFill="1" applyAlignment="1">
      <alignment horizontal="center" vertical="center" wrapText="1"/>
    </xf>
    <xf numFmtId="4" fontId="11" fillId="5" borderId="0" xfId="16" applyNumberFormat="1" applyFont="1" applyFill="1" applyAlignment="1">
      <alignment vertical="center"/>
    </xf>
    <xf numFmtId="0" fontId="10" fillId="5" borderId="26" xfId="16" applyFont="1" applyFill="1" applyBorder="1" applyAlignment="1">
      <alignment horizontal="center" vertical="center"/>
    </xf>
    <xf numFmtId="165" fontId="11" fillId="0" borderId="6" xfId="1" applyFont="1" applyFill="1" applyBorder="1" applyAlignment="1">
      <alignment horizontal="center" vertical="center" wrapText="1"/>
    </xf>
    <xf numFmtId="0" fontId="10" fillId="5" borderId="27" xfId="16" applyFont="1" applyFill="1" applyBorder="1" applyAlignment="1">
      <alignment horizontal="center" vertical="center"/>
    </xf>
    <xf numFmtId="2" fontId="10" fillId="0" borderId="1" xfId="16" applyNumberFormat="1" applyFont="1" applyBorder="1" applyAlignment="1">
      <alignment horizontal="center" vertical="center"/>
    </xf>
    <xf numFmtId="182" fontId="11" fillId="0" borderId="1" xfId="16" applyNumberFormat="1" applyFont="1" applyBorder="1" applyAlignment="1">
      <alignment horizontal="center" vertical="center" wrapText="1"/>
    </xf>
    <xf numFmtId="37" fontId="10" fillId="5" borderId="5" xfId="16" applyNumberFormat="1" applyFont="1" applyFill="1" applyBorder="1" applyAlignment="1">
      <alignment horizontal="right" vertical="center"/>
    </xf>
    <xf numFmtId="37" fontId="10" fillId="0" borderId="1" xfId="16" applyNumberFormat="1" applyFont="1" applyBorder="1" applyAlignment="1">
      <alignment horizontal="left" vertical="center"/>
    </xf>
    <xf numFmtId="0" fontId="10" fillId="0" borderId="1" xfId="16" applyFont="1" applyBorder="1" applyAlignment="1">
      <alignment horizontal="left" vertical="center" wrapText="1"/>
    </xf>
    <xf numFmtId="37" fontId="10" fillId="0" borderId="6" xfId="16" applyNumberFormat="1" applyFont="1" applyBorder="1" applyAlignment="1">
      <alignment horizontal="left" vertical="center"/>
    </xf>
    <xf numFmtId="0" fontId="10" fillId="5" borderId="6" xfId="16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5" borderId="15" xfId="16" applyFont="1" applyFill="1" applyBorder="1" applyAlignment="1">
      <alignment horizontal="center" vertical="center"/>
    </xf>
    <xf numFmtId="0" fontId="10" fillId="5" borderId="16" xfId="16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83" fontId="4" fillId="0" borderId="0" xfId="0" applyNumberFormat="1" applyFont="1"/>
    <xf numFmtId="0" fontId="12" fillId="0" borderId="1" xfId="21" applyFont="1" applyBorder="1"/>
    <xf numFmtId="178" fontId="12" fillId="0" borderId="1" xfId="21" applyNumberFormat="1" applyFont="1" applyBorder="1"/>
    <xf numFmtId="0" fontId="14" fillId="0" borderId="1" xfId="21" applyFont="1" applyBorder="1"/>
    <xf numFmtId="0" fontId="12" fillId="0" borderId="1" xfId="21" applyFont="1" applyBorder="1" applyAlignment="1">
      <alignment horizontal="justify" vertical="center" wrapText="1"/>
    </xf>
    <xf numFmtId="0" fontId="12" fillId="0" borderId="1" xfId="21" applyFont="1" applyBorder="1" applyAlignment="1">
      <alignment horizontal="center" vertical="center" wrapText="1"/>
    </xf>
    <xf numFmtId="181" fontId="4" fillId="0" borderId="0" xfId="0" applyNumberFormat="1" applyFont="1"/>
    <xf numFmtId="0" fontId="11" fillId="0" borderId="1" xfId="6" applyFont="1" applyBorder="1" applyAlignment="1">
      <alignment horizontal="left" vertical="center" wrapText="1"/>
    </xf>
    <xf numFmtId="0" fontId="11" fillId="0" borderId="1" xfId="6" applyFont="1" applyBorder="1" applyAlignment="1">
      <alignment horizontal="center" vertical="center" wrapText="1"/>
    </xf>
    <xf numFmtId="0" fontId="15" fillId="0" borderId="47" xfId="0" applyFont="1" applyBorder="1" applyAlignment="1">
      <alignment horizontal="left" vertical="center" wrapText="1"/>
    </xf>
    <xf numFmtId="0" fontId="11" fillId="0" borderId="4" xfId="6" applyFont="1" applyBorder="1" applyAlignment="1">
      <alignment horizontal="center" vertical="center"/>
    </xf>
    <xf numFmtId="0" fontId="11" fillId="0" borderId="5" xfId="6" applyFont="1" applyBorder="1" applyAlignment="1">
      <alignment horizontal="center" vertical="center"/>
    </xf>
    <xf numFmtId="0" fontId="10" fillId="0" borderId="5" xfId="8" applyFont="1" applyBorder="1" applyAlignment="1">
      <alignment horizontal="center" vertical="center" wrapText="1"/>
    </xf>
    <xf numFmtId="164" fontId="11" fillId="0" borderId="1" xfId="23" applyFont="1" applyBorder="1" applyAlignment="1">
      <alignment horizontal="left" vertical="center" wrapText="1"/>
    </xf>
    <xf numFmtId="164" fontId="11" fillId="0" borderId="1" xfId="6" applyNumberFormat="1" applyFont="1" applyBorder="1" applyAlignment="1">
      <alignment horizontal="left" vertical="center" wrapText="1"/>
    </xf>
    <xf numFmtId="181" fontId="12" fillId="0" borderId="1" xfId="21" applyNumberFormat="1" applyFont="1" applyBorder="1"/>
    <xf numFmtId="167" fontId="10" fillId="0" borderId="6" xfId="10" applyNumberFormat="1" applyFont="1" applyBorder="1" applyAlignment="1">
      <alignment horizontal="right" vertical="center"/>
    </xf>
    <xf numFmtId="172" fontId="11" fillId="0" borderId="4" xfId="8" applyNumberFormat="1" applyFont="1" applyBorder="1" applyAlignment="1">
      <alignment vertical="center" wrapText="1"/>
    </xf>
    <xf numFmtId="0" fontId="10" fillId="0" borderId="0" xfId="8" applyFont="1" applyAlignment="1">
      <alignment vertical="center" wrapText="1"/>
    </xf>
    <xf numFmtId="172" fontId="11" fillId="0" borderId="0" xfId="8" applyNumberFormat="1" applyFont="1" applyAlignment="1">
      <alignment vertical="center" wrapText="1"/>
    </xf>
    <xf numFmtId="172" fontId="11" fillId="0" borderId="1" xfId="8" applyNumberFormat="1" applyFont="1" applyBorder="1" applyAlignment="1">
      <alignment vertical="center" wrapText="1"/>
    </xf>
    <xf numFmtId="0" fontId="6" fillId="0" borderId="0" xfId="0" applyFont="1" applyAlignment="1">
      <alignment horizontal="center" wrapText="1"/>
    </xf>
    <xf numFmtId="0" fontId="10" fillId="0" borderId="1" xfId="8" applyFont="1" applyBorder="1" applyAlignment="1">
      <alignment horizontal="center" vertical="center" wrapText="1"/>
    </xf>
    <xf numFmtId="0" fontId="11" fillId="0" borderId="4" xfId="8" applyFont="1" applyBorder="1" applyAlignment="1">
      <alignment horizontal="left" vertical="center" wrapText="1"/>
    </xf>
    <xf numFmtId="0" fontId="11" fillId="0" borderId="5" xfId="8" applyFont="1" applyBorder="1" applyAlignment="1">
      <alignment horizontal="left" vertical="center" wrapText="1"/>
    </xf>
    <xf numFmtId="0" fontId="11" fillId="0" borderId="6" xfId="8" applyFont="1" applyBorder="1" applyAlignment="1">
      <alignment horizontal="left" vertical="center" wrapText="1"/>
    </xf>
    <xf numFmtId="173" fontId="11" fillId="0" borderId="0" xfId="11" applyNumberFormat="1" applyFont="1" applyFill="1" applyBorder="1" applyAlignment="1">
      <alignment horizontal="right" vertical="center" wrapText="1"/>
    </xf>
    <xf numFmtId="0" fontId="10" fillId="0" borderId="4" xfId="8" applyFont="1" applyBorder="1" applyAlignment="1">
      <alignment horizontal="left" vertical="center" wrapText="1"/>
    </xf>
    <xf numFmtId="0" fontId="10" fillId="0" borderId="5" xfId="8" applyFont="1" applyBorder="1" applyAlignment="1">
      <alignment horizontal="left" vertical="center" wrapText="1"/>
    </xf>
    <xf numFmtId="0" fontId="10" fillId="0" borderId="6" xfId="8" applyFont="1" applyBorder="1" applyAlignment="1">
      <alignment horizontal="left" vertical="center" wrapText="1"/>
    </xf>
    <xf numFmtId="0" fontId="11" fillId="0" borderId="4" xfId="6" applyFont="1" applyBorder="1" applyAlignment="1">
      <alignment horizontal="center" vertical="center"/>
    </xf>
    <xf numFmtId="0" fontId="11" fillId="0" borderId="5" xfId="6" applyFont="1" applyBorder="1" applyAlignment="1">
      <alignment horizontal="center" vertical="center"/>
    </xf>
    <xf numFmtId="0" fontId="11" fillId="0" borderId="6" xfId="6" applyFont="1" applyBorder="1" applyAlignment="1">
      <alignment horizontal="center" vertical="center"/>
    </xf>
    <xf numFmtId="0" fontId="11" fillId="0" borderId="1" xfId="6" applyFont="1" applyBorder="1" applyAlignment="1">
      <alignment horizontal="center" vertical="center"/>
    </xf>
    <xf numFmtId="0" fontId="10" fillId="0" borderId="1" xfId="8" applyFont="1" applyBorder="1" applyAlignment="1">
      <alignment horizontal="justify" vertical="center" wrapText="1"/>
    </xf>
    <xf numFmtId="0" fontId="11" fillId="0" borderId="1" xfId="8" applyFont="1" applyBorder="1" applyAlignment="1">
      <alignment vertical="center" wrapText="1"/>
    </xf>
    <xf numFmtId="0" fontId="10" fillId="0" borderId="4" xfId="8" applyFont="1" applyBorder="1" applyAlignment="1">
      <alignment horizontal="center" vertical="center" wrapText="1"/>
    </xf>
    <xf numFmtId="0" fontId="10" fillId="0" borderId="5" xfId="8" applyFont="1" applyBorder="1" applyAlignment="1">
      <alignment horizontal="center" vertical="center" wrapText="1"/>
    </xf>
    <xf numFmtId="0" fontId="10" fillId="0" borderId="6" xfId="8" applyFont="1" applyBorder="1" applyAlignment="1">
      <alignment horizontal="center" vertical="center" wrapText="1"/>
    </xf>
    <xf numFmtId="0" fontId="10" fillId="0" borderId="1" xfId="8" applyFont="1" applyBorder="1" applyAlignment="1">
      <alignment horizontal="left" vertical="center"/>
    </xf>
    <xf numFmtId="0" fontId="11" fillId="0" borderId="1" xfId="8" applyFont="1" applyBorder="1" applyAlignment="1">
      <alignment horizontal="left" vertical="center" wrapText="1"/>
    </xf>
    <xf numFmtId="0" fontId="10" fillId="0" borderId="1" xfId="6" applyFont="1" applyBorder="1" applyAlignment="1">
      <alignment vertical="center" wrapText="1"/>
    </xf>
    <xf numFmtId="0" fontId="10" fillId="0" borderId="1" xfId="8" applyFont="1" applyBorder="1" applyAlignment="1">
      <alignment horizontal="justify" vertical="center"/>
    </xf>
    <xf numFmtId="0" fontId="10" fillId="3" borderId="1" xfId="8" applyFont="1" applyFill="1" applyBorder="1" applyAlignment="1">
      <alignment horizontal="center" vertical="center"/>
    </xf>
    <xf numFmtId="0" fontId="10" fillId="5" borderId="1" xfId="8" applyFont="1" applyFill="1" applyBorder="1" applyAlignment="1">
      <alignment horizontal="justify" vertical="center" wrapText="1"/>
    </xf>
    <xf numFmtId="0" fontId="10" fillId="0" borderId="1" xfId="6" applyFont="1" applyBorder="1" applyAlignment="1">
      <alignment horizontal="left" vertical="center" wrapText="1"/>
    </xf>
    <xf numFmtId="0" fontId="10" fillId="3" borderId="1" xfId="6" applyFont="1" applyFill="1" applyBorder="1" applyAlignment="1">
      <alignment horizontal="center" vertical="center"/>
    </xf>
    <xf numFmtId="0" fontId="5" fillId="0" borderId="1" xfId="6" applyFont="1" applyBorder="1" applyAlignment="1">
      <alignment horizontal="center"/>
    </xf>
    <xf numFmtId="0" fontId="9" fillId="4" borderId="8" xfId="6" applyFont="1" applyFill="1" applyBorder="1" applyAlignment="1">
      <alignment horizontal="center" vertical="center" wrapText="1"/>
    </xf>
    <xf numFmtId="0" fontId="9" fillId="4" borderId="0" xfId="6" applyFont="1" applyFill="1" applyAlignment="1">
      <alignment horizontal="center" vertical="center" wrapText="1"/>
    </xf>
    <xf numFmtId="0" fontId="9" fillId="0" borderId="1" xfId="6" applyFont="1" applyBorder="1" applyAlignment="1">
      <alignment horizontal="center" vertical="center" wrapText="1"/>
    </xf>
    <xf numFmtId="0" fontId="10" fillId="5" borderId="1" xfId="6" applyFont="1" applyFill="1" applyBorder="1" applyAlignment="1">
      <alignment horizontal="center" vertical="center" wrapText="1"/>
    </xf>
    <xf numFmtId="0" fontId="11" fillId="5" borderId="1" xfId="6" applyFont="1" applyFill="1" applyBorder="1" applyAlignment="1">
      <alignment horizontal="left" vertical="center" wrapText="1"/>
    </xf>
    <xf numFmtId="0" fontId="10" fillId="0" borderId="4" xfId="8" applyFont="1" applyBorder="1" applyAlignment="1">
      <alignment horizontal="justify" vertical="center"/>
    </xf>
    <xf numFmtId="0" fontId="10" fillId="0" borderId="5" xfId="8" applyFont="1" applyBorder="1" applyAlignment="1">
      <alignment horizontal="justify" vertical="center"/>
    </xf>
    <xf numFmtId="0" fontId="10" fillId="3" borderId="2" xfId="6" applyFont="1" applyFill="1" applyBorder="1" applyAlignment="1">
      <alignment horizontal="center" vertical="center"/>
    </xf>
    <xf numFmtId="0" fontId="11" fillId="0" borderId="4" xfId="6" applyFont="1" applyBorder="1" applyAlignment="1">
      <alignment horizontal="left" vertical="center" wrapText="1"/>
    </xf>
    <xf numFmtId="0" fontId="11" fillId="0" borderId="5" xfId="6" applyFont="1" applyBorder="1" applyAlignment="1">
      <alignment horizontal="left" vertical="center" wrapText="1"/>
    </xf>
    <xf numFmtId="0" fontId="11" fillId="0" borderId="6" xfId="6" applyFont="1" applyBorder="1" applyAlignment="1">
      <alignment horizontal="left" vertical="center" wrapText="1"/>
    </xf>
    <xf numFmtId="0" fontId="10" fillId="0" borderId="0" xfId="16" applyFont="1" applyAlignment="1">
      <alignment horizontal="left" vertical="center"/>
    </xf>
    <xf numFmtId="175" fontId="11" fillId="0" borderId="4" xfId="16" applyNumberFormat="1" applyFont="1" applyBorder="1" applyAlignment="1">
      <alignment horizontal="center" vertical="center" wrapText="1"/>
    </xf>
    <xf numFmtId="175" fontId="11" fillId="0" borderId="6" xfId="16" applyNumberFormat="1" applyFont="1" applyBorder="1" applyAlignment="1">
      <alignment horizontal="center" vertical="center" wrapText="1"/>
    </xf>
    <xf numFmtId="9" fontId="11" fillId="0" borderId="1" xfId="16" applyNumberFormat="1" applyFont="1" applyBorder="1" applyAlignment="1">
      <alignment horizontal="center" vertical="center" wrapText="1"/>
    </xf>
    <xf numFmtId="37" fontId="10" fillId="0" borderId="4" xfId="16" applyNumberFormat="1" applyFont="1" applyBorder="1" applyAlignment="1">
      <alignment horizontal="right" vertical="center"/>
    </xf>
    <xf numFmtId="37" fontId="10" fillId="0" borderId="5" xfId="16" applyNumberFormat="1" applyFont="1" applyBorder="1" applyAlignment="1">
      <alignment horizontal="right" vertical="center"/>
    </xf>
    <xf numFmtId="0" fontId="11" fillId="0" borderId="7" xfId="16" applyFont="1" applyBorder="1" applyAlignment="1">
      <alignment horizontal="center" vertical="center" wrapText="1"/>
    </xf>
    <xf numFmtId="0" fontId="11" fillId="0" borderId="3" xfId="16" applyFont="1" applyBorder="1" applyAlignment="1">
      <alignment horizontal="center" vertical="center" wrapText="1"/>
    </xf>
    <xf numFmtId="0" fontId="10" fillId="2" borderId="1" xfId="16" applyFont="1" applyFill="1" applyBorder="1" applyAlignment="1">
      <alignment vertical="center"/>
    </xf>
    <xf numFmtId="0" fontId="10" fillId="2" borderId="1" xfId="16" applyFont="1" applyFill="1" applyBorder="1" applyAlignment="1">
      <alignment horizontal="center" vertical="center"/>
    </xf>
    <xf numFmtId="0" fontId="10" fillId="2" borderId="4" xfId="16" applyFont="1" applyFill="1" applyBorder="1" applyAlignment="1">
      <alignment horizontal="center" vertical="center"/>
    </xf>
    <xf numFmtId="0" fontId="10" fillId="2" borderId="6" xfId="16" applyFont="1" applyFill="1" applyBorder="1" applyAlignment="1">
      <alignment horizontal="center" vertical="center"/>
    </xf>
    <xf numFmtId="0" fontId="10" fillId="2" borderId="4" xfId="16" applyFont="1" applyFill="1" applyBorder="1" applyAlignment="1">
      <alignment horizontal="center" vertical="center" wrapText="1"/>
    </xf>
    <xf numFmtId="0" fontId="10" fillId="2" borderId="6" xfId="16" applyFont="1" applyFill="1" applyBorder="1" applyAlignment="1">
      <alignment horizontal="center" vertical="center" wrapText="1"/>
    </xf>
    <xf numFmtId="0" fontId="11" fillId="5" borderId="4" xfId="16" applyFont="1" applyFill="1" applyBorder="1" applyAlignment="1">
      <alignment horizontal="left" vertical="center"/>
    </xf>
    <xf numFmtId="0" fontId="11" fillId="5" borderId="5" xfId="16" applyFont="1" applyFill="1" applyBorder="1" applyAlignment="1">
      <alignment horizontal="left" vertical="center"/>
    </xf>
    <xf numFmtId="0" fontId="11" fillId="5" borderId="6" xfId="16" applyFont="1" applyFill="1" applyBorder="1" applyAlignment="1">
      <alignment horizontal="left" vertical="center"/>
    </xf>
    <xf numFmtId="0" fontId="10" fillId="2" borderId="1" xfId="16" applyFont="1" applyFill="1" applyBorder="1" applyAlignment="1">
      <alignment horizontal="left" vertical="center"/>
    </xf>
    <xf numFmtId="166" fontId="10" fillId="2" borderId="1" xfId="16" applyNumberFormat="1" applyFont="1" applyFill="1" applyBorder="1" applyAlignment="1">
      <alignment vertical="center"/>
    </xf>
    <xf numFmtId="0" fontId="10" fillId="2" borderId="5" xfId="16" applyFont="1" applyFill="1" applyBorder="1" applyAlignment="1">
      <alignment horizontal="center" vertical="center" wrapText="1"/>
    </xf>
    <xf numFmtId="0" fontId="11" fillId="2" borderId="5" xfId="16" applyFont="1" applyFill="1" applyBorder="1" applyAlignment="1">
      <alignment horizontal="center" vertical="center" wrapText="1"/>
    </xf>
    <xf numFmtId="0" fontId="10" fillId="0" borderId="20" xfId="16" applyFont="1" applyBorder="1" applyAlignment="1">
      <alignment horizontal="left" vertical="center"/>
    </xf>
    <xf numFmtId="0" fontId="10" fillId="0" borderId="21" xfId="16" applyFont="1" applyBorder="1" applyAlignment="1">
      <alignment horizontal="left" vertical="center"/>
    </xf>
    <xf numFmtId="0" fontId="10" fillId="0" borderId="21" xfId="16" applyFont="1" applyBorder="1" applyAlignment="1">
      <alignment horizontal="center" vertical="center"/>
    </xf>
    <xf numFmtId="0" fontId="10" fillId="0" borderId="22" xfId="16" applyFont="1" applyBorder="1" applyAlignment="1">
      <alignment horizontal="center" vertical="center"/>
    </xf>
    <xf numFmtId="0" fontId="11" fillId="0" borderId="21" xfId="6" applyFont="1" applyBorder="1" applyAlignment="1">
      <alignment horizontal="center" vertical="center"/>
    </xf>
    <xf numFmtId="0" fontId="11" fillId="0" borderId="22" xfId="6" applyFont="1" applyBorder="1" applyAlignment="1">
      <alignment horizontal="center" vertical="center"/>
    </xf>
    <xf numFmtId="0" fontId="9" fillId="4" borderId="1" xfId="6" applyFont="1" applyFill="1" applyBorder="1" applyAlignment="1">
      <alignment horizontal="center" vertical="center" wrapText="1"/>
    </xf>
    <xf numFmtId="0" fontId="10" fillId="4" borderId="14" xfId="6" applyFont="1" applyFill="1" applyBorder="1" applyAlignment="1">
      <alignment horizontal="center" vertical="top" wrapText="1"/>
    </xf>
    <xf numFmtId="0" fontId="10" fillId="4" borderId="15" xfId="6" applyFont="1" applyFill="1" applyBorder="1" applyAlignment="1">
      <alignment horizontal="center" vertical="top" wrapText="1"/>
    </xf>
    <xf numFmtId="0" fontId="10" fillId="4" borderId="16" xfId="6" applyFont="1" applyFill="1" applyBorder="1" applyAlignment="1">
      <alignment horizontal="center" vertical="top" wrapText="1"/>
    </xf>
    <xf numFmtId="0" fontId="10" fillId="0" borderId="17" xfId="16" applyFont="1" applyBorder="1" applyAlignment="1">
      <alignment horizontal="left" vertical="center"/>
    </xf>
    <xf numFmtId="0" fontId="10" fillId="0" borderId="18" xfId="16" applyFont="1" applyBorder="1" applyAlignment="1">
      <alignment horizontal="left" vertical="center"/>
    </xf>
    <xf numFmtId="175" fontId="10" fillId="0" borderId="18" xfId="17" applyNumberFormat="1" applyFont="1" applyBorder="1" applyAlignment="1">
      <alignment horizontal="center" vertical="center"/>
    </xf>
    <xf numFmtId="175" fontId="10" fillId="0" borderId="19" xfId="17" applyNumberFormat="1" applyFont="1" applyBorder="1" applyAlignment="1">
      <alignment horizontal="center" vertical="center"/>
    </xf>
    <xf numFmtId="15" fontId="11" fillId="0" borderId="18" xfId="6" applyNumberFormat="1" applyFont="1" applyBorder="1" applyAlignment="1">
      <alignment horizontal="center" vertical="center"/>
    </xf>
    <xf numFmtId="15" fontId="11" fillId="0" borderId="19" xfId="6" applyNumberFormat="1" applyFont="1" applyBorder="1" applyAlignment="1">
      <alignment horizontal="center" vertical="center"/>
    </xf>
    <xf numFmtId="0" fontId="11" fillId="5" borderId="4" xfId="16" applyFont="1" applyFill="1" applyBorder="1" applyAlignment="1">
      <alignment horizontal="center" vertical="center"/>
    </xf>
    <xf numFmtId="0" fontId="11" fillId="5" borderId="6" xfId="16" applyFont="1" applyFill="1" applyBorder="1" applyAlignment="1">
      <alignment horizontal="center" vertical="center"/>
    </xf>
    <xf numFmtId="0" fontId="11" fillId="5" borderId="1" xfId="20" applyFont="1" applyFill="1" applyBorder="1" applyAlignment="1">
      <alignment horizontal="left" vertical="center" wrapText="1"/>
    </xf>
    <xf numFmtId="0" fontId="11" fillId="0" borderId="4" xfId="20" applyFont="1" applyBorder="1" applyAlignment="1">
      <alignment horizontal="left" vertical="center" wrapText="1"/>
    </xf>
    <xf numFmtId="0" fontId="11" fillId="0" borderId="6" xfId="20" applyFont="1" applyBorder="1" applyAlignment="1">
      <alignment horizontal="left" vertical="center" wrapText="1"/>
    </xf>
    <xf numFmtId="4" fontId="11" fillId="0" borderId="4" xfId="16" applyNumberFormat="1" applyFont="1" applyBorder="1" applyAlignment="1">
      <alignment horizontal="center" vertical="center"/>
    </xf>
    <xf numFmtId="4" fontId="11" fillId="0" borderId="6" xfId="16" applyNumberFormat="1" applyFont="1" applyBorder="1" applyAlignment="1">
      <alignment horizontal="center" vertical="center"/>
    </xf>
    <xf numFmtId="0" fontId="11" fillId="0" borderId="4" xfId="16" applyFont="1" applyBorder="1" applyAlignment="1">
      <alignment horizontal="center" vertical="center" wrapText="1"/>
    </xf>
    <xf numFmtId="0" fontId="11" fillId="0" borderId="5" xfId="16" applyFont="1" applyBorder="1" applyAlignment="1">
      <alignment horizontal="center" vertical="center" wrapText="1"/>
    </xf>
    <xf numFmtId="0" fontId="11" fillId="0" borderId="6" xfId="16" applyFont="1" applyBorder="1" applyAlignment="1">
      <alignment horizontal="center" vertical="center" wrapText="1"/>
    </xf>
    <xf numFmtId="0" fontId="10" fillId="0" borderId="1" xfId="16" applyFont="1" applyBorder="1" applyAlignment="1">
      <alignment horizontal="left" vertical="center" wrapText="1"/>
    </xf>
    <xf numFmtId="37" fontId="10" fillId="0" borderId="1" xfId="16" applyNumberFormat="1" applyFont="1" applyBorder="1" applyAlignment="1">
      <alignment horizontal="left" vertical="center"/>
    </xf>
    <xf numFmtId="0" fontId="10" fillId="0" borderId="1" xfId="16" applyFont="1" applyBorder="1" applyAlignment="1">
      <alignment vertical="center"/>
    </xf>
    <xf numFmtId="0" fontId="10" fillId="0" borderId="7" xfId="16" applyFont="1" applyBorder="1" applyAlignment="1">
      <alignment horizontal="center" vertical="center" wrapText="1"/>
    </xf>
    <xf numFmtId="0" fontId="10" fillId="0" borderId="3" xfId="16" applyFont="1" applyBorder="1" applyAlignment="1">
      <alignment horizontal="center" vertical="center" wrapText="1"/>
    </xf>
    <xf numFmtId="0" fontId="11" fillId="5" borderId="4" xfId="16" applyFont="1" applyFill="1" applyBorder="1" applyAlignment="1">
      <alignment horizontal="left" vertical="center" wrapText="1"/>
    </xf>
    <xf numFmtId="0" fontId="11" fillId="5" borderId="5" xfId="16" applyFont="1" applyFill="1" applyBorder="1" applyAlignment="1">
      <alignment horizontal="left" vertical="center" wrapText="1"/>
    </xf>
    <xf numFmtId="0" fontId="11" fillId="5" borderId="6" xfId="16" applyFont="1" applyFill="1" applyBorder="1" applyAlignment="1">
      <alignment horizontal="left" vertical="center" wrapText="1"/>
    </xf>
    <xf numFmtId="0" fontId="10" fillId="6" borderId="4" xfId="16" applyFont="1" applyFill="1" applyBorder="1" applyAlignment="1">
      <alignment horizontal="left" vertical="center" wrapText="1"/>
    </xf>
    <xf numFmtId="0" fontId="10" fillId="6" borderId="5" xfId="16" applyFont="1" applyFill="1" applyBorder="1" applyAlignment="1">
      <alignment horizontal="left" vertical="center" wrapText="1"/>
    </xf>
    <xf numFmtId="0" fontId="10" fillId="6" borderId="6" xfId="16" applyFont="1" applyFill="1" applyBorder="1" applyAlignment="1">
      <alignment horizontal="left" vertical="center" wrapText="1"/>
    </xf>
    <xf numFmtId="166" fontId="10" fillId="0" borderId="7" xfId="16" applyNumberFormat="1" applyFont="1" applyBorder="1" applyAlignment="1">
      <alignment vertical="center"/>
    </xf>
    <xf numFmtId="166" fontId="10" fillId="0" borderId="1" xfId="16" applyNumberFormat="1" applyFont="1" applyBorder="1" applyAlignment="1">
      <alignment vertical="center"/>
    </xf>
    <xf numFmtId="0" fontId="10" fillId="0" borderId="4" xfId="16" applyFont="1" applyBorder="1" applyAlignment="1">
      <alignment horizontal="left" vertical="center"/>
    </xf>
    <xf numFmtId="0" fontId="10" fillId="0" borderId="5" xfId="16" applyFont="1" applyBorder="1" applyAlignment="1">
      <alignment horizontal="left" vertical="center"/>
    </xf>
    <xf numFmtId="0" fontId="10" fillId="0" borderId="6" xfId="16" applyFont="1" applyBorder="1" applyAlignment="1">
      <alignment horizontal="left" vertical="center"/>
    </xf>
    <xf numFmtId="0" fontId="10" fillId="0" borderId="4" xfId="16" applyFont="1" applyBorder="1" applyAlignment="1">
      <alignment horizontal="left" vertical="center" wrapText="1"/>
    </xf>
    <xf numFmtId="0" fontId="10" fillId="0" borderId="5" xfId="16" applyFont="1" applyBorder="1" applyAlignment="1">
      <alignment horizontal="left" vertical="center" wrapText="1"/>
    </xf>
    <xf numFmtId="0" fontId="11" fillId="0" borderId="0" xfId="16" applyFont="1" applyAlignment="1">
      <alignment horizontal="center" vertical="center"/>
    </xf>
    <xf numFmtId="0" fontId="10" fillId="0" borderId="1" xfId="16" applyFont="1" applyBorder="1" applyAlignment="1">
      <alignment horizontal="left" vertical="center"/>
    </xf>
    <xf numFmtId="2" fontId="11" fillId="0" borderId="4" xfId="16" applyNumberFormat="1" applyFont="1" applyBorder="1" applyAlignment="1">
      <alignment horizontal="center" vertical="center" wrapText="1"/>
    </xf>
    <xf numFmtId="2" fontId="11" fillId="0" borderId="6" xfId="16" applyNumberFormat="1" applyFont="1" applyBorder="1" applyAlignment="1">
      <alignment horizontal="center" vertical="center" wrapText="1"/>
    </xf>
    <xf numFmtId="0" fontId="11" fillId="0" borderId="4" xfId="16" applyFont="1" applyBorder="1" applyAlignment="1">
      <alignment horizontal="center" vertical="center"/>
    </xf>
    <xf numFmtId="0" fontId="11" fillId="0" borderId="5" xfId="16" applyFont="1" applyBorder="1" applyAlignment="1">
      <alignment horizontal="center" vertical="center"/>
    </xf>
    <xf numFmtId="0" fontId="11" fillId="0" borderId="6" xfId="16" applyFont="1" applyBorder="1" applyAlignment="1">
      <alignment horizontal="center" vertical="center"/>
    </xf>
    <xf numFmtId="0" fontId="10" fillId="6" borderId="4" xfId="16" applyFont="1" applyFill="1" applyBorder="1" applyAlignment="1">
      <alignment horizontal="left" vertical="center"/>
    </xf>
    <xf numFmtId="0" fontId="10" fillId="6" borderId="5" xfId="16" applyFont="1" applyFill="1" applyBorder="1" applyAlignment="1">
      <alignment horizontal="left" vertical="center"/>
    </xf>
    <xf numFmtId="0" fontId="10" fillId="6" borderId="6" xfId="16" applyFont="1" applyFill="1" applyBorder="1" applyAlignment="1">
      <alignment horizontal="left" vertical="center"/>
    </xf>
    <xf numFmtId="0" fontId="10" fillId="5" borderId="4" xfId="16" applyFont="1" applyFill="1" applyBorder="1" applyAlignment="1">
      <alignment horizontal="left" vertical="center"/>
    </xf>
    <xf numFmtId="0" fontId="10" fillId="5" borderId="5" xfId="16" applyFont="1" applyFill="1" applyBorder="1" applyAlignment="1">
      <alignment horizontal="left" vertical="center"/>
    </xf>
    <xf numFmtId="0" fontId="10" fillId="5" borderId="6" xfId="16" applyFont="1" applyFill="1" applyBorder="1" applyAlignment="1">
      <alignment horizontal="left" vertical="center"/>
    </xf>
    <xf numFmtId="0" fontId="11" fillId="0" borderId="1" xfId="20" applyFont="1" applyBorder="1" applyAlignment="1">
      <alignment horizontal="left" vertical="center" wrapText="1"/>
    </xf>
    <xf numFmtId="0" fontId="10" fillId="5" borderId="4" xfId="16" applyFont="1" applyFill="1" applyBorder="1" applyAlignment="1">
      <alignment horizontal="center" vertical="center"/>
    </xf>
    <xf numFmtId="0" fontId="10" fillId="5" borderId="5" xfId="16" applyFont="1" applyFill="1" applyBorder="1" applyAlignment="1">
      <alignment horizontal="center" vertical="center"/>
    </xf>
    <xf numFmtId="0" fontId="10" fillId="5" borderId="6" xfId="16" applyFont="1" applyFill="1" applyBorder="1" applyAlignment="1">
      <alignment horizontal="center" vertical="center"/>
    </xf>
    <xf numFmtId="0" fontId="11" fillId="5" borderId="13" xfId="20" applyFont="1" applyFill="1" applyBorder="1" applyAlignment="1">
      <alignment horizontal="left" vertical="center"/>
    </xf>
    <xf numFmtId="0" fontId="11" fillId="5" borderId="12" xfId="20" applyFont="1" applyFill="1" applyBorder="1" applyAlignment="1">
      <alignment horizontal="left" vertical="center"/>
    </xf>
    <xf numFmtId="37" fontId="10" fillId="5" borderId="4" xfId="16" applyNumberFormat="1" applyFont="1" applyFill="1" applyBorder="1" applyAlignment="1">
      <alignment horizontal="right" vertical="center"/>
    </xf>
    <xf numFmtId="37" fontId="10" fillId="5" borderId="5" xfId="16" applyNumberFormat="1" applyFont="1" applyFill="1" applyBorder="1" applyAlignment="1">
      <alignment horizontal="right" vertical="center"/>
    </xf>
    <xf numFmtId="0" fontId="10" fillId="5" borderId="1" xfId="16" applyFont="1" applyFill="1" applyBorder="1" applyAlignment="1">
      <alignment horizontal="center" vertical="center"/>
    </xf>
    <xf numFmtId="0" fontId="10" fillId="5" borderId="13" xfId="16" applyFont="1" applyFill="1" applyBorder="1" applyAlignment="1">
      <alignment horizontal="center" vertical="center" wrapText="1"/>
    </xf>
    <xf numFmtId="0" fontId="10" fillId="5" borderId="12" xfId="16" applyFont="1" applyFill="1" applyBorder="1" applyAlignment="1">
      <alignment horizontal="center" vertical="center" wrapText="1"/>
    </xf>
    <xf numFmtId="0" fontId="10" fillId="5" borderId="9" xfId="16" applyFont="1" applyFill="1" applyBorder="1" applyAlignment="1">
      <alignment horizontal="center" vertical="center" wrapText="1"/>
    </xf>
    <xf numFmtId="0" fontId="10" fillId="5" borderId="11" xfId="16" applyFont="1" applyFill="1" applyBorder="1" applyAlignment="1">
      <alignment horizontal="center" vertical="center" wrapText="1"/>
    </xf>
    <xf numFmtId="0" fontId="10" fillId="5" borderId="14" xfId="16" applyFont="1" applyFill="1" applyBorder="1" applyAlignment="1">
      <alignment horizontal="left" vertical="center" wrapText="1"/>
    </xf>
    <xf numFmtId="0" fontId="10" fillId="5" borderId="40" xfId="16" applyFont="1" applyFill="1" applyBorder="1" applyAlignment="1">
      <alignment horizontal="left" vertical="center" wrapText="1"/>
    </xf>
    <xf numFmtId="181" fontId="10" fillId="0" borderId="41" xfId="16" applyNumberFormat="1" applyFont="1" applyBorder="1" applyAlignment="1">
      <alignment horizontal="center" vertical="center"/>
    </xf>
    <xf numFmtId="0" fontId="10" fillId="0" borderId="42" xfId="16" applyFont="1" applyBorder="1" applyAlignment="1">
      <alignment horizontal="center" vertical="center"/>
    </xf>
    <xf numFmtId="2" fontId="11" fillId="5" borderId="29" xfId="16" applyNumberFormat="1" applyFont="1" applyFill="1" applyBorder="1" applyAlignment="1">
      <alignment horizontal="justify" vertical="center" wrapText="1"/>
    </xf>
    <xf numFmtId="2" fontId="11" fillId="5" borderId="30" xfId="16" applyNumberFormat="1" applyFont="1" applyFill="1" applyBorder="1" applyAlignment="1">
      <alignment horizontal="justify" vertical="center" wrapText="1"/>
    </xf>
    <xf numFmtId="0" fontId="11" fillId="5" borderId="31" xfId="16" applyFont="1" applyFill="1" applyBorder="1" applyAlignment="1">
      <alignment horizontal="justify" vertical="center" wrapText="1"/>
    </xf>
    <xf numFmtId="0" fontId="11" fillId="5" borderId="24" xfId="16" applyFont="1" applyFill="1" applyBorder="1" applyAlignment="1">
      <alignment horizontal="justify" vertical="center" wrapText="1"/>
    </xf>
    <xf numFmtId="0" fontId="11" fillId="5" borderId="0" xfId="16" applyFont="1" applyFill="1" applyAlignment="1">
      <alignment horizontal="justify" vertical="center" wrapText="1"/>
    </xf>
    <xf numFmtId="0" fontId="11" fillId="5" borderId="25" xfId="16" applyFont="1" applyFill="1" applyBorder="1" applyAlignment="1">
      <alignment horizontal="justify" vertical="center" wrapText="1"/>
    </xf>
    <xf numFmtId="0" fontId="11" fillId="5" borderId="34" xfId="16" applyFont="1" applyFill="1" applyBorder="1" applyAlignment="1">
      <alignment horizontal="justify" vertical="center" wrapText="1"/>
    </xf>
    <xf numFmtId="0" fontId="11" fillId="5" borderId="26" xfId="16" applyFont="1" applyFill="1" applyBorder="1" applyAlignment="1">
      <alignment horizontal="justify" vertical="center" wrapText="1"/>
    </xf>
    <xf numFmtId="0" fontId="11" fillId="5" borderId="27" xfId="16" applyFont="1" applyFill="1" applyBorder="1" applyAlignment="1">
      <alignment horizontal="justify" vertical="center" wrapText="1"/>
    </xf>
    <xf numFmtId="0" fontId="10" fillId="5" borderId="43" xfId="16" applyFont="1" applyFill="1" applyBorder="1" applyAlignment="1">
      <alignment horizontal="left" vertical="center"/>
    </xf>
    <xf numFmtId="0" fontId="10" fillId="5" borderId="44" xfId="16" applyFont="1" applyFill="1" applyBorder="1" applyAlignment="1">
      <alignment horizontal="left" vertical="center"/>
    </xf>
    <xf numFmtId="175" fontId="10" fillId="0" borderId="46" xfId="17" applyNumberFormat="1" applyFont="1" applyBorder="1" applyAlignment="1">
      <alignment horizontal="center" vertical="center"/>
    </xf>
    <xf numFmtId="175" fontId="10" fillId="0" borderId="31" xfId="17" applyNumberFormat="1" applyFont="1" applyBorder="1" applyAlignment="1">
      <alignment horizontal="center" vertical="center"/>
    </xf>
    <xf numFmtId="0" fontId="10" fillId="5" borderId="15" xfId="16" applyFont="1" applyFill="1" applyBorder="1" applyAlignment="1">
      <alignment horizontal="left" vertical="center" wrapText="1"/>
    </xf>
    <xf numFmtId="175" fontId="10" fillId="0" borderId="40" xfId="17" applyNumberFormat="1" applyFont="1" applyBorder="1" applyAlignment="1">
      <alignment horizontal="center" vertical="center"/>
    </xf>
    <xf numFmtId="175" fontId="10" fillId="0" borderId="42" xfId="17" applyNumberFormat="1" applyFont="1" applyBorder="1" applyAlignment="1">
      <alignment horizontal="center" vertical="center"/>
    </xf>
    <xf numFmtId="0" fontId="10" fillId="5" borderId="39" xfId="16" applyFont="1" applyFill="1" applyBorder="1" applyAlignment="1">
      <alignment horizontal="left" vertical="center"/>
    </xf>
    <xf numFmtId="0" fontId="10" fillId="5" borderId="3" xfId="16" applyFont="1" applyFill="1" applyBorder="1" applyAlignment="1">
      <alignment horizontal="left" vertical="center"/>
    </xf>
    <xf numFmtId="175" fontId="10" fillId="5" borderId="8" xfId="17" applyNumberFormat="1" applyFont="1" applyFill="1" applyBorder="1" applyAlignment="1">
      <alignment horizontal="center" vertical="center"/>
    </xf>
    <xf numFmtId="175" fontId="10" fillId="5" borderId="25" xfId="17" applyNumberFormat="1" applyFont="1" applyFill="1" applyBorder="1" applyAlignment="1">
      <alignment horizontal="center" vertical="center"/>
    </xf>
    <xf numFmtId="0" fontId="10" fillId="5" borderId="14" xfId="16" applyFont="1" applyFill="1" applyBorder="1" applyAlignment="1">
      <alignment horizontal="left" vertical="center"/>
    </xf>
    <xf numFmtId="0" fontId="10" fillId="5" borderId="15" xfId="16" applyFont="1" applyFill="1" applyBorder="1" applyAlignment="1">
      <alignment horizontal="left" vertical="center"/>
    </xf>
    <xf numFmtId="0" fontId="10" fillId="5" borderId="45" xfId="16" applyFont="1" applyFill="1" applyBorder="1" applyAlignment="1">
      <alignment horizontal="center" vertical="center"/>
    </xf>
    <xf numFmtId="0" fontId="10" fillId="5" borderId="10" xfId="16" applyFont="1" applyFill="1" applyBorder="1" applyAlignment="1">
      <alignment horizontal="center" vertical="center"/>
    </xf>
    <xf numFmtId="0" fontId="10" fillId="5" borderId="0" xfId="16" applyFont="1" applyFill="1" applyAlignment="1">
      <alignment horizontal="center" vertical="center"/>
    </xf>
    <xf numFmtId="0" fontId="10" fillId="5" borderId="25" xfId="16" applyFont="1" applyFill="1" applyBorder="1" applyAlignment="1">
      <alignment horizontal="center" vertical="center"/>
    </xf>
    <xf numFmtId="0" fontId="10" fillId="5" borderId="24" xfId="19" applyFont="1" applyFill="1" applyBorder="1" applyAlignment="1">
      <alignment horizontal="left" vertical="center" wrapText="1"/>
    </xf>
    <xf numFmtId="0" fontId="10" fillId="5" borderId="0" xfId="19" applyFont="1" applyFill="1" applyAlignment="1">
      <alignment horizontal="left" vertical="center" wrapText="1"/>
    </xf>
    <xf numFmtId="15" fontId="10" fillId="5" borderId="26" xfId="16" applyNumberFormat="1" applyFont="1" applyFill="1" applyBorder="1" applyAlignment="1">
      <alignment horizontal="center" vertical="center" wrapText="1"/>
    </xf>
    <xf numFmtId="0" fontId="10" fillId="5" borderId="24" xfId="16" applyFont="1" applyFill="1" applyBorder="1" applyAlignment="1">
      <alignment horizontal="left" vertical="center" wrapText="1"/>
    </xf>
    <xf numFmtId="0" fontId="10" fillId="5" borderId="0" xfId="16" applyFont="1" applyFill="1" applyAlignment="1">
      <alignment horizontal="left" vertical="center" wrapText="1"/>
    </xf>
    <xf numFmtId="0" fontId="10" fillId="5" borderId="28" xfId="16" applyFont="1" applyFill="1" applyBorder="1" applyAlignment="1">
      <alignment horizontal="center" vertical="center" wrapText="1"/>
    </xf>
    <xf numFmtId="0" fontId="5" fillId="0" borderId="36" xfId="6" applyFont="1" applyBorder="1" applyAlignment="1">
      <alignment horizontal="center"/>
    </xf>
    <xf numFmtId="0" fontId="5" fillId="0" borderId="37" xfId="6" applyFont="1" applyBorder="1" applyAlignment="1">
      <alignment horizontal="center"/>
    </xf>
    <xf numFmtId="0" fontId="5" fillId="0" borderId="32" xfId="6" applyFont="1" applyBorder="1" applyAlignment="1">
      <alignment horizontal="center"/>
    </xf>
    <xf numFmtId="0" fontId="5" fillId="0" borderId="38" xfId="6" applyFont="1" applyBorder="1" applyAlignment="1">
      <alignment horizontal="center"/>
    </xf>
    <xf numFmtId="0" fontId="5" fillId="0" borderId="5" xfId="6" applyFont="1" applyBorder="1" applyAlignment="1">
      <alignment horizontal="center"/>
    </xf>
    <xf numFmtId="0" fontId="5" fillId="0" borderId="33" xfId="6" applyFont="1" applyBorder="1" applyAlignment="1">
      <alignment horizontal="center"/>
    </xf>
    <xf numFmtId="0" fontId="9" fillId="4" borderId="38" xfId="6" applyFont="1" applyFill="1" applyBorder="1" applyAlignment="1">
      <alignment horizontal="center" vertical="center" wrapText="1"/>
    </xf>
    <xf numFmtId="0" fontId="9" fillId="4" borderId="5" xfId="6" applyFont="1" applyFill="1" applyBorder="1" applyAlignment="1">
      <alignment horizontal="center" vertical="center" wrapText="1"/>
    </xf>
    <xf numFmtId="0" fontId="9" fillId="4" borderId="33" xfId="6" applyFont="1" applyFill="1" applyBorder="1" applyAlignment="1">
      <alignment horizontal="center" vertical="center" wrapText="1"/>
    </xf>
    <xf numFmtId="0" fontId="9" fillId="0" borderId="38" xfId="6" applyFont="1" applyBorder="1" applyAlignment="1">
      <alignment horizontal="center" vertical="center" wrapText="1"/>
    </xf>
    <xf numFmtId="0" fontId="9" fillId="0" borderId="5" xfId="6" applyFont="1" applyBorder="1" applyAlignment="1">
      <alignment horizontal="center" vertical="center" wrapText="1"/>
    </xf>
    <xf numFmtId="0" fontId="9" fillId="0" borderId="33" xfId="6" applyFont="1" applyBorder="1" applyAlignment="1">
      <alignment horizontal="center" vertical="center" wrapText="1"/>
    </xf>
    <xf numFmtId="0" fontId="10" fillId="5" borderId="0" xfId="19" applyFont="1" applyFill="1" applyAlignment="1">
      <alignment horizontal="center" vertical="center" wrapText="1"/>
    </xf>
    <xf numFmtId="0" fontId="10" fillId="5" borderId="25" xfId="19" applyFont="1" applyFill="1" applyBorder="1" applyAlignment="1">
      <alignment horizontal="center" vertical="center" wrapText="1"/>
    </xf>
  </cellXfs>
  <cellStyles count="24">
    <cellStyle name="Hipervínculo 2" xfId="3" xr:uid="{00000000-0005-0000-0000-000000000000}"/>
    <cellStyle name="Millares 13 2 5" xfId="11" xr:uid="{00000000-0005-0000-0000-000001000000}"/>
    <cellStyle name="Millares 2 2" xfId="14" xr:uid="{00000000-0005-0000-0000-000002000000}"/>
    <cellStyle name="Millares 3" xfId="4" xr:uid="{00000000-0005-0000-0000-000003000000}"/>
    <cellStyle name="Millares_PRESUPUESTO  AMBIENTAL Y SOCIAL anexo 8A 2" xfId="12" xr:uid="{00000000-0005-0000-0000-000004000000}"/>
    <cellStyle name="Millares_PRESUPUESTOS Preliminares 2" xfId="10" xr:uid="{00000000-0005-0000-0000-000005000000}"/>
    <cellStyle name="Moneda" xfId="23" builtinId="4"/>
    <cellStyle name="Moneda [0]" xfId="1" builtinId="7"/>
    <cellStyle name="Moneda 2" xfId="5" xr:uid="{00000000-0005-0000-0000-000007000000}"/>
    <cellStyle name="Moneda 2 2" xfId="22" xr:uid="{00000000-0005-0000-0000-000008000000}"/>
    <cellStyle name="Normal" xfId="0" builtinId="0"/>
    <cellStyle name="Normal 12 2" xfId="6" xr:uid="{00000000-0005-0000-0000-00000A000000}"/>
    <cellStyle name="Normal 2" xfId="2" xr:uid="{00000000-0005-0000-0000-00000B000000}"/>
    <cellStyle name="Normal 3" xfId="15" xr:uid="{00000000-0005-0000-0000-00000C000000}"/>
    <cellStyle name="Normal 3 2" xfId="21" xr:uid="{00000000-0005-0000-0000-00000D000000}"/>
    <cellStyle name="Normal_CALCULO DEL AIU 2011" xfId="20" xr:uid="{00000000-0005-0000-0000-00000E000000}"/>
    <cellStyle name="Normal_CALCULO DEL AIU 2011_revisar 2" xfId="17" xr:uid="{00000000-0005-0000-0000-00000F000000}"/>
    <cellStyle name="Normal_Matriz de Indicadores_V1.0" xfId="19" xr:uid="{00000000-0005-0000-0000-000010000000}"/>
    <cellStyle name="Normal_PPTO-ETAPA- I-07-SEPTIEMBRE-12 2" xfId="16" xr:uid="{00000000-0005-0000-0000-000011000000}"/>
    <cellStyle name="Normal_PRESUPUESTO Ambiental_PPTO-CANTON NORTE KR 11 100-106 + ALAMEDA-16-OCTUBRE-2012" xfId="7" xr:uid="{00000000-0005-0000-0000-000012000000}"/>
    <cellStyle name="Normal_PRESUPUESTOS Preliminares_PPTO-ETAPA- I-16-MAYO-12-PREPLIEGO" xfId="8" xr:uid="{00000000-0005-0000-0000-000013000000}"/>
    <cellStyle name="Porcentaje 2 2" xfId="9" xr:uid="{00000000-0005-0000-0000-000014000000}"/>
    <cellStyle name="Porcentaje 2 4 2" xfId="13" xr:uid="{00000000-0005-0000-0000-000015000000}"/>
    <cellStyle name="Porcentual_CALCULO DEL AIU-2012 2" xfId="18" xr:uid="{00000000-0005-0000-0000-00001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19"/>
  <sheetViews>
    <sheetView workbookViewId="0">
      <selection activeCell="E15" sqref="E15"/>
    </sheetView>
  </sheetViews>
  <sheetFormatPr defaultColWidth="11.42578125" defaultRowHeight="15"/>
  <cols>
    <col min="3" max="3" width="30.140625" customWidth="1"/>
    <col min="5" max="5" width="13.28515625" bestFit="1" customWidth="1"/>
    <col min="6" max="6" width="12.140625" customWidth="1"/>
  </cols>
  <sheetData>
    <row r="2" spans="2:7" ht="33.75">
      <c r="B2" s="121"/>
      <c r="C2" s="61" t="s">
        <v>0</v>
      </c>
      <c r="D2" s="61" t="s">
        <v>1</v>
      </c>
      <c r="E2" s="61" t="s">
        <v>2</v>
      </c>
      <c r="F2" s="61" t="s">
        <v>3</v>
      </c>
      <c r="G2" s="61" t="s">
        <v>4</v>
      </c>
    </row>
    <row r="3" spans="2:7" ht="22.5">
      <c r="B3" s="62">
        <v>9469</v>
      </c>
      <c r="C3" s="63" t="s">
        <v>5</v>
      </c>
      <c r="D3" s="64">
        <v>5</v>
      </c>
      <c r="E3" s="65">
        <v>5720320</v>
      </c>
      <c r="F3" s="64" t="s">
        <v>6</v>
      </c>
      <c r="G3" s="64" t="s">
        <v>7</v>
      </c>
    </row>
    <row r="4" spans="2:7" ht="22.5">
      <c r="B4" s="62">
        <v>9470</v>
      </c>
      <c r="C4" s="63" t="s">
        <v>5</v>
      </c>
      <c r="D4" s="64">
        <v>6</v>
      </c>
      <c r="E4" s="65">
        <v>5614634</v>
      </c>
      <c r="F4" s="64" t="s">
        <v>7</v>
      </c>
      <c r="G4" s="64" t="s">
        <v>8</v>
      </c>
    </row>
    <row r="5" spans="2:7" ht="22.5">
      <c r="B5" s="62">
        <v>9471</v>
      </c>
      <c r="C5" s="63" t="s">
        <v>9</v>
      </c>
      <c r="D5" s="64">
        <v>7</v>
      </c>
      <c r="E5" s="65">
        <v>4534135</v>
      </c>
      <c r="F5" s="64" t="s">
        <v>10</v>
      </c>
      <c r="G5" s="64"/>
    </row>
    <row r="6" spans="2:7" ht="22.5">
      <c r="B6" s="62">
        <v>9472</v>
      </c>
      <c r="C6" s="63" t="s">
        <v>5</v>
      </c>
      <c r="D6" s="64">
        <v>8</v>
      </c>
      <c r="E6" s="65">
        <v>4127708</v>
      </c>
      <c r="F6" s="64" t="s">
        <v>11</v>
      </c>
      <c r="G6" s="64"/>
    </row>
    <row r="7" spans="2:7" ht="69.75" customHeight="1">
      <c r="B7" s="62">
        <v>9473</v>
      </c>
      <c r="C7" s="63" t="s">
        <v>12</v>
      </c>
      <c r="D7" s="64"/>
      <c r="E7" s="65">
        <v>3803763</v>
      </c>
      <c r="F7" s="64"/>
      <c r="G7" s="64"/>
    </row>
    <row r="8" spans="2:7" ht="45">
      <c r="B8" s="62">
        <v>9491</v>
      </c>
      <c r="C8" s="63" t="s">
        <v>13</v>
      </c>
      <c r="D8" s="66"/>
      <c r="E8" s="65">
        <v>2453353</v>
      </c>
      <c r="F8" s="122"/>
      <c r="G8" s="123"/>
    </row>
    <row r="9" spans="2:7" ht="45.75">
      <c r="B9" s="62">
        <v>9575</v>
      </c>
      <c r="C9" s="129" t="s">
        <v>14</v>
      </c>
      <c r="D9" s="121"/>
      <c r="E9" s="65">
        <v>2084288</v>
      </c>
      <c r="F9" s="121"/>
      <c r="G9" s="123"/>
    </row>
    <row r="10" spans="2:7">
      <c r="B10" s="121"/>
      <c r="C10" s="121"/>
      <c r="D10" s="121"/>
      <c r="E10" s="121"/>
      <c r="F10" s="121"/>
      <c r="G10" s="123"/>
    </row>
    <row r="11" spans="2:7" ht="20.25">
      <c r="B11" s="62">
        <v>9578</v>
      </c>
      <c r="C11" s="63" t="s">
        <v>15</v>
      </c>
      <c r="D11" s="67" t="s">
        <v>16</v>
      </c>
      <c r="E11" s="65">
        <v>1043625</v>
      </c>
      <c r="F11" s="121"/>
      <c r="G11" s="123"/>
    </row>
    <row r="12" spans="2:7" ht="94.5" customHeight="1">
      <c r="B12" s="62">
        <v>9724</v>
      </c>
      <c r="C12" s="63" t="s">
        <v>17</v>
      </c>
      <c r="D12" s="66" t="s">
        <v>18</v>
      </c>
      <c r="E12" s="65">
        <v>154700</v>
      </c>
      <c r="F12" s="121"/>
      <c r="G12" s="123"/>
    </row>
    <row r="13" spans="2:7" ht="48.75" customHeight="1">
      <c r="B13" s="62">
        <v>9835</v>
      </c>
      <c r="C13" s="63" t="s">
        <v>19</v>
      </c>
      <c r="D13" s="66" t="s">
        <v>20</v>
      </c>
      <c r="E13" s="65">
        <v>142400</v>
      </c>
      <c r="F13" s="121"/>
      <c r="G13" s="123"/>
    </row>
    <row r="14" spans="2:7" ht="78.75" customHeight="1">
      <c r="B14" s="62">
        <v>9840</v>
      </c>
      <c r="C14" s="124" t="s">
        <v>21</v>
      </c>
      <c r="D14" s="125" t="s">
        <v>22</v>
      </c>
      <c r="E14" s="65">
        <v>219000</v>
      </c>
      <c r="F14" s="121"/>
      <c r="G14" s="121"/>
    </row>
    <row r="15" spans="2:7" ht="52.5" customHeight="1">
      <c r="B15" s="62">
        <v>10023</v>
      </c>
      <c r="C15" s="124" t="s">
        <v>23</v>
      </c>
      <c r="D15" s="125" t="s">
        <v>24</v>
      </c>
      <c r="E15" s="65">
        <v>15232</v>
      </c>
      <c r="F15" s="135"/>
      <c r="G15" s="121"/>
    </row>
    <row r="16" spans="2:7" ht="29.25" customHeight="1">
      <c r="B16" s="62">
        <v>13521</v>
      </c>
      <c r="C16" s="124" t="s">
        <v>25</v>
      </c>
      <c r="D16" s="125" t="s">
        <v>26</v>
      </c>
      <c r="E16" s="65">
        <v>398250</v>
      </c>
      <c r="F16" s="121"/>
      <c r="G16" s="121"/>
    </row>
    <row r="17" spans="2:7">
      <c r="B17" s="60"/>
      <c r="C17" s="60"/>
      <c r="D17" s="60"/>
      <c r="E17" s="60"/>
      <c r="F17" s="60"/>
      <c r="G17" s="60"/>
    </row>
    <row r="18" spans="2:7">
      <c r="C18" s="141" t="s">
        <v>27</v>
      </c>
      <c r="D18" s="141"/>
      <c r="E18" s="141"/>
    </row>
    <row r="19" spans="2:7">
      <c r="C19" s="141"/>
      <c r="D19" s="141"/>
      <c r="E19" s="141"/>
    </row>
  </sheetData>
  <mergeCells count="1">
    <mergeCell ref="C18:E1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V75"/>
  <sheetViews>
    <sheetView workbookViewId="0">
      <selection activeCell="C13" sqref="C13:E13"/>
    </sheetView>
  </sheetViews>
  <sheetFormatPr defaultColWidth="11.42578125" defaultRowHeight="12.75"/>
  <cols>
    <col min="1" max="1" width="6.5703125" style="1" customWidth="1"/>
    <col min="2" max="2" width="11.42578125" style="1"/>
    <col min="3" max="3" width="7.5703125" style="1" customWidth="1"/>
    <col min="4" max="4" width="9" style="1" customWidth="1"/>
    <col min="5" max="5" width="12.85546875" style="1" customWidth="1"/>
    <col min="6" max="6" width="32.7109375" style="1" customWidth="1"/>
    <col min="7" max="7" width="7.85546875" style="1" customWidth="1"/>
    <col min="8" max="8" width="11" style="1" customWidth="1"/>
    <col min="9" max="9" width="12.42578125" style="1" customWidth="1"/>
    <col min="10" max="10" width="15.140625" style="1" customWidth="1"/>
    <col min="11" max="11" width="5" style="1" customWidth="1"/>
    <col min="12" max="12" width="0" style="1" hidden="1" customWidth="1"/>
    <col min="13" max="16384" width="11.42578125" style="1"/>
  </cols>
  <sheetData>
    <row r="2" spans="2:12">
      <c r="B2" s="167" t="s">
        <v>28</v>
      </c>
      <c r="C2" s="167"/>
      <c r="D2" s="167"/>
      <c r="E2" s="167"/>
      <c r="F2" s="167"/>
      <c r="G2" s="167"/>
      <c r="H2" s="167"/>
      <c r="I2" s="167"/>
      <c r="J2" s="167"/>
    </row>
    <row r="3" spans="2:12">
      <c r="B3" s="167"/>
      <c r="C3" s="167"/>
      <c r="D3" s="167"/>
      <c r="E3" s="167"/>
      <c r="F3" s="167"/>
      <c r="G3" s="167"/>
      <c r="H3" s="167"/>
      <c r="I3" s="167"/>
      <c r="J3" s="167"/>
    </row>
    <row r="4" spans="2:12">
      <c r="B4" s="168" t="s">
        <v>29</v>
      </c>
      <c r="C4" s="169"/>
      <c r="D4" s="169"/>
      <c r="E4" s="169"/>
      <c r="F4" s="169"/>
      <c r="G4" s="169"/>
      <c r="H4" s="169"/>
      <c r="I4" s="169"/>
      <c r="J4" s="169"/>
    </row>
    <row r="5" spans="2:12">
      <c r="B5" s="170"/>
      <c r="C5" s="170"/>
      <c r="D5" s="170"/>
      <c r="E5" s="170"/>
      <c r="F5" s="170"/>
      <c r="G5" s="170"/>
      <c r="H5" s="170"/>
      <c r="I5" s="170"/>
      <c r="J5" s="170"/>
    </row>
    <row r="6" spans="2:12" ht="43.5" customHeight="1">
      <c r="B6" s="171" t="s">
        <v>30</v>
      </c>
      <c r="C6" s="171"/>
      <c r="D6" s="172" t="s">
        <v>31</v>
      </c>
      <c r="E6" s="172"/>
      <c r="F6" s="172"/>
      <c r="G6" s="172"/>
      <c r="H6" s="172"/>
      <c r="I6" s="172"/>
      <c r="J6" s="172"/>
    </row>
    <row r="7" spans="2:12">
      <c r="B7" s="171"/>
      <c r="C7" s="171"/>
      <c r="D7" s="171"/>
      <c r="E7" s="171"/>
      <c r="F7" s="171"/>
      <c r="G7" s="171"/>
      <c r="H7" s="171"/>
      <c r="I7" s="171"/>
      <c r="J7" s="171"/>
    </row>
    <row r="8" spans="2:12">
      <c r="B8" s="173" t="s">
        <v>32</v>
      </c>
      <c r="C8" s="174"/>
      <c r="D8" s="174"/>
      <c r="E8" s="174"/>
      <c r="F8" s="174"/>
      <c r="G8" s="174"/>
      <c r="H8" s="174"/>
      <c r="I8" s="174"/>
      <c r="J8" s="174"/>
    </row>
    <row r="9" spans="2:12" ht="25.5">
      <c r="B9" s="175" t="s">
        <v>33</v>
      </c>
      <c r="C9" s="175"/>
      <c r="D9" s="175"/>
      <c r="E9" s="175"/>
      <c r="F9" s="7" t="s">
        <v>34</v>
      </c>
      <c r="G9" s="7" t="s">
        <v>35</v>
      </c>
      <c r="H9" s="18" t="s">
        <v>36</v>
      </c>
      <c r="I9" s="23" t="s">
        <v>37</v>
      </c>
      <c r="J9" s="17" t="s">
        <v>38</v>
      </c>
      <c r="L9" s="1" t="s">
        <v>39</v>
      </c>
    </row>
    <row r="10" spans="2:12">
      <c r="B10" s="8" t="s">
        <v>40</v>
      </c>
      <c r="C10" s="165" t="s">
        <v>41</v>
      </c>
      <c r="D10" s="165"/>
      <c r="E10" s="165"/>
      <c r="F10" s="165"/>
      <c r="G10" s="165"/>
      <c r="H10" s="165"/>
      <c r="I10" s="165"/>
      <c r="J10" s="165"/>
    </row>
    <row r="11" spans="2:12" ht="24" customHeight="1">
      <c r="B11" s="8">
        <v>1.1000000000000001</v>
      </c>
      <c r="C11" s="176" t="s">
        <v>42</v>
      </c>
      <c r="D11" s="177"/>
      <c r="E11" s="178"/>
      <c r="F11" s="127" t="s">
        <v>43</v>
      </c>
      <c r="G11" s="128" t="s">
        <v>44</v>
      </c>
      <c r="H11" s="128">
        <v>1</v>
      </c>
      <c r="I11" s="133">
        <v>107100</v>
      </c>
      <c r="J11" s="134">
        <f>H11*I11</f>
        <v>107100</v>
      </c>
    </row>
    <row r="12" spans="2:12" ht="27" customHeight="1">
      <c r="B12" s="8">
        <v>1.2</v>
      </c>
      <c r="C12" s="176" t="s">
        <v>45</v>
      </c>
      <c r="D12" s="177"/>
      <c r="E12" s="178"/>
      <c r="F12" s="127" t="s">
        <v>46</v>
      </c>
      <c r="G12" s="128" t="s">
        <v>24</v>
      </c>
      <c r="H12" s="128">
        <v>100</v>
      </c>
      <c r="I12" s="133">
        <v>83</v>
      </c>
      <c r="J12" s="134">
        <f>H12*I12</f>
        <v>8300</v>
      </c>
    </row>
    <row r="13" spans="2:12" ht="95.25" customHeight="1">
      <c r="B13" s="5">
        <v>1.3</v>
      </c>
      <c r="C13" s="155" t="s">
        <v>47</v>
      </c>
      <c r="D13" s="155"/>
      <c r="E13" s="155"/>
      <c r="F13" s="9" t="s">
        <v>48</v>
      </c>
      <c r="G13" s="10" t="s">
        <v>49</v>
      </c>
      <c r="H13" s="16">
        <v>1</v>
      </c>
      <c r="I13" s="24">
        <v>382737</v>
      </c>
      <c r="J13" s="19">
        <f>ROUND(H13*I13,0)</f>
        <v>382737</v>
      </c>
      <c r="L13" s="118" t="s">
        <v>50</v>
      </c>
    </row>
    <row r="14" spans="2:12">
      <c r="B14" s="153"/>
      <c r="C14" s="153"/>
      <c r="D14" s="153"/>
      <c r="E14" s="153"/>
      <c r="F14" s="153"/>
      <c r="G14" s="142" t="s">
        <v>51</v>
      </c>
      <c r="H14" s="142"/>
      <c r="I14" s="142"/>
      <c r="J14" s="20">
        <f>SUM(J11:J13)</f>
        <v>498137</v>
      </c>
      <c r="L14" s="118"/>
    </row>
    <row r="15" spans="2:12">
      <c r="B15" s="153"/>
      <c r="C15" s="153"/>
      <c r="D15" s="153"/>
      <c r="E15" s="153"/>
      <c r="F15" s="153"/>
      <c r="G15" s="153"/>
      <c r="H15" s="153"/>
      <c r="I15" s="153"/>
      <c r="J15" s="153"/>
      <c r="L15" s="118"/>
    </row>
    <row r="16" spans="2:12">
      <c r="B16" s="162" t="s">
        <v>52</v>
      </c>
      <c r="C16" s="162"/>
      <c r="D16" s="162"/>
      <c r="E16" s="162"/>
      <c r="F16" s="162"/>
      <c r="G16" s="162"/>
      <c r="H16" s="162"/>
      <c r="I16" s="162"/>
      <c r="J16" s="162"/>
      <c r="L16" s="118"/>
    </row>
    <row r="17" spans="2:12" ht="25.5">
      <c r="B17" s="166" t="s">
        <v>33</v>
      </c>
      <c r="C17" s="166"/>
      <c r="D17" s="166"/>
      <c r="E17" s="166"/>
      <c r="F17" s="25" t="s">
        <v>34</v>
      </c>
      <c r="G17" s="25" t="s">
        <v>35</v>
      </c>
      <c r="H17" s="26" t="s">
        <v>36</v>
      </c>
      <c r="I17" s="27" t="s">
        <v>37</v>
      </c>
      <c r="J17" s="2" t="s">
        <v>38</v>
      </c>
      <c r="L17" s="118"/>
    </row>
    <row r="18" spans="2:12">
      <c r="B18" s="8" t="s">
        <v>53</v>
      </c>
      <c r="C18" s="165" t="s">
        <v>54</v>
      </c>
      <c r="D18" s="165"/>
      <c r="E18" s="165"/>
      <c r="F18" s="165"/>
      <c r="G18" s="165"/>
      <c r="H18" s="165"/>
      <c r="I18" s="165"/>
      <c r="J18" s="165"/>
      <c r="L18" s="118"/>
    </row>
    <row r="19" spans="2:12" ht="31.5" customHeight="1">
      <c r="B19" s="5">
        <v>1.1000000000000001</v>
      </c>
      <c r="C19" s="155" t="s">
        <v>55</v>
      </c>
      <c r="D19" s="155"/>
      <c r="E19" s="155"/>
      <c r="F19" s="9" t="s">
        <v>56</v>
      </c>
      <c r="G19" s="10" t="s">
        <v>49</v>
      </c>
      <c r="H19" s="16">
        <v>3</v>
      </c>
      <c r="I19" s="24">
        <v>122000</v>
      </c>
      <c r="J19" s="19">
        <f>ROUND(H19*I19,0)</f>
        <v>366000</v>
      </c>
      <c r="L19" s="118" t="s">
        <v>50</v>
      </c>
    </row>
    <row r="20" spans="2:12">
      <c r="B20" s="153"/>
      <c r="C20" s="153"/>
      <c r="D20" s="153"/>
      <c r="E20" s="153"/>
      <c r="F20" s="153"/>
      <c r="G20" s="142" t="s">
        <v>57</v>
      </c>
      <c r="H20" s="142"/>
      <c r="I20" s="142"/>
      <c r="J20" s="20">
        <f>SUM(J19:J19)</f>
        <v>366000</v>
      </c>
      <c r="L20" s="118"/>
    </row>
    <row r="21" spans="2:12" ht="9.75" customHeight="1">
      <c r="B21" s="153"/>
      <c r="C21" s="153"/>
      <c r="D21" s="153"/>
      <c r="E21" s="153"/>
      <c r="F21" s="153"/>
      <c r="G21" s="153"/>
      <c r="H21" s="153"/>
      <c r="I21" s="153"/>
      <c r="J21" s="153"/>
      <c r="L21" s="118"/>
    </row>
    <row r="22" spans="2:12">
      <c r="B22" s="5" t="s">
        <v>58</v>
      </c>
      <c r="C22" s="154" t="s">
        <v>59</v>
      </c>
      <c r="D22" s="154"/>
      <c r="E22" s="154"/>
      <c r="F22" s="154"/>
      <c r="G22" s="154"/>
      <c r="H22" s="154"/>
      <c r="I22" s="154"/>
      <c r="J22" s="154"/>
      <c r="L22" s="118"/>
    </row>
    <row r="23" spans="2:12">
      <c r="B23" s="142">
        <v>2.1</v>
      </c>
      <c r="C23" s="160" t="s">
        <v>60</v>
      </c>
      <c r="D23" s="160"/>
      <c r="E23" s="160"/>
      <c r="F23" s="9" t="s">
        <v>61</v>
      </c>
      <c r="G23" s="11" t="s">
        <v>62</v>
      </c>
      <c r="H23" s="16">
        <v>45</v>
      </c>
      <c r="I23" s="24">
        <v>1312</v>
      </c>
      <c r="J23" s="21">
        <f>ROUND(H23*I23,0)</f>
        <v>59040</v>
      </c>
      <c r="L23" s="118" t="s">
        <v>50</v>
      </c>
    </row>
    <row r="24" spans="2:12" ht="25.5">
      <c r="B24" s="142"/>
      <c r="C24" s="160"/>
      <c r="D24" s="160"/>
      <c r="E24" s="160"/>
      <c r="F24" s="9" t="s">
        <v>63</v>
      </c>
      <c r="G24" s="11" t="s">
        <v>24</v>
      </c>
      <c r="H24" s="16">
        <v>4</v>
      </c>
      <c r="I24" s="24">
        <v>43962</v>
      </c>
      <c r="J24" s="21">
        <f>ROUND(H24*I24,0)</f>
        <v>175848</v>
      </c>
      <c r="L24" s="118" t="s">
        <v>50</v>
      </c>
    </row>
    <row r="25" spans="2:12" ht="25.5">
      <c r="B25" s="142"/>
      <c r="C25" s="160"/>
      <c r="D25" s="160"/>
      <c r="E25" s="160"/>
      <c r="F25" s="9" t="s">
        <v>64</v>
      </c>
      <c r="G25" s="11" t="s">
        <v>65</v>
      </c>
      <c r="H25" s="16">
        <v>2</v>
      </c>
      <c r="I25" s="24">
        <v>24285</v>
      </c>
      <c r="J25" s="21">
        <f>ROUND(H25*I25,0)</f>
        <v>48570</v>
      </c>
      <c r="L25" s="118" t="s">
        <v>50</v>
      </c>
    </row>
    <row r="26" spans="2:12">
      <c r="B26" s="153"/>
      <c r="C26" s="153"/>
      <c r="D26" s="153"/>
      <c r="E26" s="153"/>
      <c r="F26" s="153"/>
      <c r="G26" s="142" t="s">
        <v>57</v>
      </c>
      <c r="H26" s="142"/>
      <c r="I26" s="142"/>
      <c r="J26" s="20">
        <f>SUM(J23:J25)</f>
        <v>283458</v>
      </c>
      <c r="L26" s="118"/>
    </row>
    <row r="27" spans="2:12" ht="9.75" customHeight="1">
      <c r="B27" s="150"/>
      <c r="C27" s="151"/>
      <c r="D27" s="151"/>
      <c r="E27" s="151"/>
      <c r="F27" s="151"/>
      <c r="G27" s="151"/>
      <c r="H27" s="151"/>
      <c r="I27" s="151"/>
      <c r="J27" s="152"/>
      <c r="L27" s="118"/>
    </row>
    <row r="28" spans="2:12">
      <c r="B28" s="5" t="s">
        <v>66</v>
      </c>
      <c r="C28" s="154" t="s">
        <v>67</v>
      </c>
      <c r="D28" s="154"/>
      <c r="E28" s="154"/>
      <c r="F28" s="154"/>
      <c r="G28" s="154"/>
      <c r="H28" s="154"/>
      <c r="I28" s="154"/>
      <c r="J28" s="154"/>
      <c r="L28" s="118"/>
    </row>
    <row r="29" spans="2:12" ht="38.25">
      <c r="B29" s="142">
        <v>3.1</v>
      </c>
      <c r="C29" s="155" t="s">
        <v>68</v>
      </c>
      <c r="D29" s="155"/>
      <c r="E29" s="155"/>
      <c r="F29" s="9" t="s">
        <v>69</v>
      </c>
      <c r="G29" s="10" t="s">
        <v>24</v>
      </c>
      <c r="H29" s="16">
        <v>1</v>
      </c>
      <c r="I29" s="24">
        <v>13978</v>
      </c>
      <c r="J29" s="21">
        <f>+ROUND(H29*I29,0)</f>
        <v>13978</v>
      </c>
      <c r="L29" s="118" t="s">
        <v>50</v>
      </c>
    </row>
    <row r="30" spans="2:12" ht="46.5" customHeight="1">
      <c r="B30" s="142"/>
      <c r="C30" s="155"/>
      <c r="D30" s="155"/>
      <c r="E30" s="155"/>
      <c r="F30" s="9" t="s">
        <v>70</v>
      </c>
      <c r="G30" s="10" t="s">
        <v>71</v>
      </c>
      <c r="H30" s="16">
        <v>1</v>
      </c>
      <c r="I30" s="24">
        <v>7021</v>
      </c>
      <c r="J30" s="21">
        <f>+ROUND(H30*I30,0)</f>
        <v>7021</v>
      </c>
      <c r="L30" s="118" t="s">
        <v>50</v>
      </c>
    </row>
    <row r="31" spans="2:12">
      <c r="B31" s="142"/>
      <c r="C31" s="155"/>
      <c r="D31" s="155"/>
      <c r="E31" s="155"/>
      <c r="F31" s="9" t="s">
        <v>72</v>
      </c>
      <c r="G31" s="10" t="s">
        <v>24</v>
      </c>
      <c r="H31" s="16">
        <v>1</v>
      </c>
      <c r="I31" s="24">
        <v>12971</v>
      </c>
      <c r="J31" s="21">
        <f>+ROUND(H31*I31,0)</f>
        <v>12971</v>
      </c>
      <c r="L31" s="118" t="s">
        <v>50</v>
      </c>
    </row>
    <row r="32" spans="2:12">
      <c r="B32" s="142"/>
      <c r="C32" s="155"/>
      <c r="D32" s="155"/>
      <c r="E32" s="155"/>
      <c r="F32" s="9" t="s">
        <v>73</v>
      </c>
      <c r="G32" s="10" t="s">
        <v>24</v>
      </c>
      <c r="H32" s="16">
        <v>1</v>
      </c>
      <c r="I32" s="24">
        <v>4641</v>
      </c>
      <c r="J32" s="21">
        <f>+ROUND(H32*I32,0)</f>
        <v>4641</v>
      </c>
      <c r="L32" s="118" t="s">
        <v>50</v>
      </c>
    </row>
    <row r="33" spans="2:22" ht="51">
      <c r="B33" s="142"/>
      <c r="C33" s="155"/>
      <c r="D33" s="155"/>
      <c r="E33" s="155"/>
      <c r="F33" s="9" t="s">
        <v>74</v>
      </c>
      <c r="G33" s="10" t="s">
        <v>24</v>
      </c>
      <c r="H33" s="16">
        <v>3</v>
      </c>
      <c r="I33" s="24">
        <v>10042</v>
      </c>
      <c r="J33" s="21">
        <f>+ROUND(H33*I33,0)</f>
        <v>30126</v>
      </c>
      <c r="L33" s="118" t="s">
        <v>50</v>
      </c>
    </row>
    <row r="34" spans="2:22">
      <c r="B34" s="153"/>
      <c r="C34" s="153"/>
      <c r="D34" s="153"/>
      <c r="E34" s="153"/>
      <c r="F34" s="153"/>
      <c r="G34" s="142" t="s">
        <v>57</v>
      </c>
      <c r="H34" s="142"/>
      <c r="I34" s="142"/>
      <c r="J34" s="28">
        <f>SUM(J29:J33)</f>
        <v>68737</v>
      </c>
      <c r="L34" s="118"/>
    </row>
    <row r="35" spans="2:22">
      <c r="B35" s="153"/>
      <c r="C35" s="153"/>
      <c r="D35" s="153"/>
      <c r="E35" s="153"/>
      <c r="F35" s="153"/>
      <c r="G35" s="142" t="s">
        <v>75</v>
      </c>
      <c r="H35" s="142"/>
      <c r="I35" s="142"/>
      <c r="J35" s="6">
        <f>+J34+J26+J20</f>
        <v>718195</v>
      </c>
      <c r="L35" s="118"/>
    </row>
    <row r="36" spans="2:22">
      <c r="C36" s="131"/>
      <c r="D36" s="131"/>
      <c r="E36" s="131"/>
      <c r="F36" s="131"/>
      <c r="G36" s="132"/>
      <c r="H36" s="132"/>
      <c r="I36" s="132"/>
      <c r="J36" s="136"/>
      <c r="L36" s="118"/>
    </row>
    <row r="37" spans="2:22" ht="12.75" customHeight="1">
      <c r="B37" s="5" t="s">
        <v>76</v>
      </c>
      <c r="C37" s="147" t="s">
        <v>77</v>
      </c>
      <c r="D37" s="148"/>
      <c r="E37" s="148"/>
      <c r="F37" s="148"/>
      <c r="G37" s="148"/>
      <c r="H37" s="148"/>
      <c r="I37" s="148"/>
      <c r="J37" s="149"/>
      <c r="K37" s="138"/>
      <c r="L37" s="138"/>
      <c r="M37" s="138"/>
      <c r="N37" s="138"/>
      <c r="O37" s="138"/>
      <c r="P37" s="138"/>
      <c r="Q37" s="138"/>
      <c r="R37" s="138"/>
      <c r="S37" s="138"/>
      <c r="T37" s="138"/>
      <c r="U37" s="138"/>
      <c r="V37" s="138"/>
    </row>
    <row r="38" spans="2:22">
      <c r="B38" s="5">
        <v>1.1000000000000001</v>
      </c>
      <c r="C38" s="143" t="s">
        <v>25</v>
      </c>
      <c r="D38" s="144"/>
      <c r="E38" s="144"/>
      <c r="F38" s="145"/>
      <c r="G38" s="11" t="s">
        <v>20</v>
      </c>
      <c r="H38" s="16">
        <v>5</v>
      </c>
      <c r="I38" s="137">
        <v>398250</v>
      </c>
      <c r="J38" s="140">
        <f>I38*H38</f>
        <v>1991250</v>
      </c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46"/>
      <c r="V38" s="146"/>
    </row>
    <row r="39" spans="2:22">
      <c r="B39" s="130"/>
      <c r="C39" s="131"/>
      <c r="D39" s="131"/>
      <c r="E39" s="131"/>
      <c r="F39" s="131"/>
      <c r="G39" s="142" t="s">
        <v>78</v>
      </c>
      <c r="H39" s="142"/>
      <c r="I39" s="142"/>
      <c r="J39" s="6">
        <f>J38</f>
        <v>1991250</v>
      </c>
      <c r="L39" s="118"/>
    </row>
    <row r="40" spans="2:22">
      <c r="B40" s="150"/>
      <c r="C40" s="151"/>
      <c r="D40" s="151"/>
      <c r="E40" s="151"/>
      <c r="F40" s="151"/>
      <c r="G40" s="151"/>
      <c r="H40" s="151"/>
      <c r="I40" s="151"/>
      <c r="J40" s="152"/>
      <c r="L40" s="118"/>
    </row>
    <row r="41" spans="2:22">
      <c r="B41" s="162" t="s">
        <v>79</v>
      </c>
      <c r="C41" s="162"/>
      <c r="D41" s="162"/>
      <c r="E41" s="162"/>
      <c r="F41" s="162"/>
      <c r="G41" s="162"/>
      <c r="H41" s="162"/>
      <c r="I41" s="162"/>
      <c r="J41" s="162"/>
      <c r="L41" s="118"/>
    </row>
    <row r="42" spans="2:22" ht="25.5">
      <c r="B42" s="163" t="s">
        <v>33</v>
      </c>
      <c r="C42" s="163"/>
      <c r="D42" s="163"/>
      <c r="E42" s="163"/>
      <c r="F42" s="163"/>
      <c r="G42" s="2" t="s">
        <v>35</v>
      </c>
      <c r="H42" s="2" t="s">
        <v>36</v>
      </c>
      <c r="I42" s="3" t="s">
        <v>37</v>
      </c>
      <c r="J42" s="4" t="s">
        <v>38</v>
      </c>
      <c r="L42" s="118"/>
    </row>
    <row r="43" spans="2:22">
      <c r="B43" s="12" t="s">
        <v>80</v>
      </c>
      <c r="C43" s="164" t="s">
        <v>81</v>
      </c>
      <c r="D43" s="164"/>
      <c r="E43" s="164"/>
      <c r="F43" s="164"/>
      <c r="G43" s="164"/>
      <c r="H43" s="164"/>
      <c r="I43" s="164"/>
      <c r="J43" s="164"/>
      <c r="L43" s="118"/>
    </row>
    <row r="44" spans="2:22" ht="26.25" customHeight="1">
      <c r="B44" s="13">
        <v>1.01</v>
      </c>
      <c r="C44" s="155" t="s">
        <v>82</v>
      </c>
      <c r="D44" s="155"/>
      <c r="E44" s="155"/>
      <c r="F44" s="155"/>
      <c r="G44" s="11" t="s">
        <v>49</v>
      </c>
      <c r="H44" s="16">
        <v>1</v>
      </c>
      <c r="I44" s="24">
        <v>51308</v>
      </c>
      <c r="J44" s="21">
        <f t="shared" ref="J44:J59" si="0">+ROUND(H44*I44,0)</f>
        <v>51308</v>
      </c>
      <c r="L44" s="118" t="s">
        <v>50</v>
      </c>
    </row>
    <row r="45" spans="2:22">
      <c r="B45" s="13">
        <f t="shared" ref="B45:B64" si="1">B44+0.01</f>
        <v>1.02</v>
      </c>
      <c r="C45" s="155" t="s">
        <v>83</v>
      </c>
      <c r="D45" s="155"/>
      <c r="E45" s="155"/>
      <c r="F45" s="155"/>
      <c r="G45" s="11" t="s">
        <v>24</v>
      </c>
      <c r="H45" s="16">
        <v>1</v>
      </c>
      <c r="I45" s="24">
        <v>159900</v>
      </c>
      <c r="J45" s="21">
        <f t="shared" si="0"/>
        <v>159900</v>
      </c>
      <c r="L45" s="118" t="s">
        <v>50</v>
      </c>
    </row>
    <row r="46" spans="2:22" ht="24" customHeight="1">
      <c r="B46" s="13">
        <f t="shared" si="1"/>
        <v>1.03</v>
      </c>
      <c r="C46" s="155" t="s">
        <v>84</v>
      </c>
      <c r="D46" s="155"/>
      <c r="E46" s="155"/>
      <c r="F46" s="155"/>
      <c r="G46" s="11" t="s">
        <v>49</v>
      </c>
      <c r="H46" s="16">
        <v>1</v>
      </c>
      <c r="I46" s="24">
        <v>56287</v>
      </c>
      <c r="J46" s="21">
        <f t="shared" si="0"/>
        <v>56287</v>
      </c>
      <c r="L46" s="118" t="s">
        <v>50</v>
      </c>
    </row>
    <row r="47" spans="2:22" ht="18.75" customHeight="1">
      <c r="B47" s="13">
        <f t="shared" si="1"/>
        <v>1.04</v>
      </c>
      <c r="C47" s="155" t="s">
        <v>85</v>
      </c>
      <c r="D47" s="155"/>
      <c r="E47" s="155"/>
      <c r="F47" s="155"/>
      <c r="G47" s="11" t="s">
        <v>71</v>
      </c>
      <c r="H47" s="16">
        <v>9</v>
      </c>
      <c r="I47" s="24">
        <v>45101</v>
      </c>
      <c r="J47" s="21">
        <f t="shared" si="0"/>
        <v>405909</v>
      </c>
      <c r="L47" s="118" t="s">
        <v>50</v>
      </c>
    </row>
    <row r="48" spans="2:22" ht="25.5" customHeight="1">
      <c r="B48" s="13">
        <f t="shared" si="1"/>
        <v>1.05</v>
      </c>
      <c r="C48" s="155" t="s">
        <v>86</v>
      </c>
      <c r="D48" s="155"/>
      <c r="E48" s="155"/>
      <c r="F48" s="155"/>
      <c r="G48" s="11" t="s">
        <v>71</v>
      </c>
      <c r="H48" s="16">
        <v>9</v>
      </c>
      <c r="I48" s="24">
        <v>2023</v>
      </c>
      <c r="J48" s="21">
        <f t="shared" si="0"/>
        <v>18207</v>
      </c>
      <c r="L48" s="118" t="s">
        <v>50</v>
      </c>
    </row>
    <row r="49" spans="2:12">
      <c r="B49" s="13">
        <f t="shared" si="1"/>
        <v>1.06</v>
      </c>
      <c r="C49" s="155" t="s">
        <v>87</v>
      </c>
      <c r="D49" s="155"/>
      <c r="E49" s="155"/>
      <c r="F49" s="155"/>
      <c r="G49" s="11" t="s">
        <v>24</v>
      </c>
      <c r="H49" s="16">
        <v>9</v>
      </c>
      <c r="I49" s="24">
        <v>20111</v>
      </c>
      <c r="J49" s="21">
        <f t="shared" si="0"/>
        <v>180999</v>
      </c>
      <c r="L49" s="118" t="s">
        <v>50</v>
      </c>
    </row>
    <row r="50" spans="2:12" ht="22.5" customHeight="1">
      <c r="B50" s="13">
        <f t="shared" si="1"/>
        <v>1.07</v>
      </c>
      <c r="C50" s="155" t="s">
        <v>88</v>
      </c>
      <c r="D50" s="155"/>
      <c r="E50" s="155"/>
      <c r="F50" s="155"/>
      <c r="G50" s="11" t="s">
        <v>24</v>
      </c>
      <c r="H50" s="16">
        <v>9</v>
      </c>
      <c r="I50" s="24">
        <v>4165</v>
      </c>
      <c r="J50" s="21">
        <f t="shared" si="0"/>
        <v>37485</v>
      </c>
      <c r="L50" s="118" t="s">
        <v>50</v>
      </c>
    </row>
    <row r="51" spans="2:12">
      <c r="B51" s="13">
        <f t="shared" si="1"/>
        <v>1.08</v>
      </c>
      <c r="C51" s="155" t="s">
        <v>73</v>
      </c>
      <c r="D51" s="155"/>
      <c r="E51" s="155"/>
      <c r="F51" s="155"/>
      <c r="G51" s="11" t="s">
        <v>24</v>
      </c>
      <c r="H51" s="16">
        <v>9</v>
      </c>
      <c r="I51" s="24">
        <v>4641</v>
      </c>
      <c r="J51" s="21">
        <f t="shared" si="0"/>
        <v>41769</v>
      </c>
      <c r="L51" s="118" t="s">
        <v>50</v>
      </c>
    </row>
    <row r="52" spans="2:12">
      <c r="B52" s="13">
        <f t="shared" si="1"/>
        <v>1.0900000000000001</v>
      </c>
      <c r="C52" s="143" t="s">
        <v>89</v>
      </c>
      <c r="D52" s="144"/>
      <c r="E52" s="144"/>
      <c r="F52" s="145"/>
      <c r="G52" s="11" t="s">
        <v>24</v>
      </c>
      <c r="H52" s="16">
        <v>4</v>
      </c>
      <c r="I52" s="24">
        <v>5831</v>
      </c>
      <c r="J52" s="21">
        <f t="shared" si="0"/>
        <v>23324</v>
      </c>
      <c r="L52" s="118"/>
    </row>
    <row r="53" spans="2:12" ht="27.75" customHeight="1">
      <c r="B53" s="13">
        <f t="shared" si="1"/>
        <v>1.1000000000000001</v>
      </c>
      <c r="C53" s="155" t="s">
        <v>90</v>
      </c>
      <c r="D53" s="155"/>
      <c r="E53" s="155"/>
      <c r="F53" s="155"/>
      <c r="G53" s="11" t="s">
        <v>24</v>
      </c>
      <c r="H53" s="16">
        <v>2</v>
      </c>
      <c r="I53" s="24">
        <v>140000</v>
      </c>
      <c r="J53" s="21">
        <f t="shared" si="0"/>
        <v>280000</v>
      </c>
      <c r="L53" s="118" t="s">
        <v>50</v>
      </c>
    </row>
    <row r="54" spans="2:12">
      <c r="B54" s="13">
        <f t="shared" si="1"/>
        <v>1.1100000000000001</v>
      </c>
      <c r="C54" s="155" t="s">
        <v>91</v>
      </c>
      <c r="D54" s="155"/>
      <c r="E54" s="155"/>
      <c r="F54" s="155"/>
      <c r="G54" s="11" t="s">
        <v>24</v>
      </c>
      <c r="H54" s="16">
        <v>4</v>
      </c>
      <c r="I54" s="24">
        <v>44500</v>
      </c>
      <c r="J54" s="21">
        <f t="shared" si="0"/>
        <v>178000</v>
      </c>
      <c r="L54" s="118" t="s">
        <v>50</v>
      </c>
    </row>
    <row r="55" spans="2:12" ht="14.25" customHeight="1">
      <c r="B55" s="13">
        <f t="shared" si="1"/>
        <v>1.1200000000000001</v>
      </c>
      <c r="C55" s="155" t="s">
        <v>92</v>
      </c>
      <c r="D55" s="155"/>
      <c r="E55" s="155"/>
      <c r="F55" s="155"/>
      <c r="G55" s="11" t="s">
        <v>93</v>
      </c>
      <c r="H55" s="16">
        <v>2</v>
      </c>
      <c r="I55" s="24">
        <v>2022</v>
      </c>
      <c r="J55" s="21">
        <f t="shared" si="0"/>
        <v>4044</v>
      </c>
      <c r="L55" s="118" t="s">
        <v>50</v>
      </c>
    </row>
    <row r="56" spans="2:12">
      <c r="B56" s="13">
        <f t="shared" si="1"/>
        <v>1.1300000000000001</v>
      </c>
      <c r="C56" s="160" t="s">
        <v>94</v>
      </c>
      <c r="D56" s="160"/>
      <c r="E56" s="160"/>
      <c r="F56" s="160"/>
      <c r="G56" s="11" t="s">
        <v>24</v>
      </c>
      <c r="H56" s="16">
        <v>20</v>
      </c>
      <c r="I56" s="24">
        <v>5300</v>
      </c>
      <c r="J56" s="21">
        <f t="shared" si="0"/>
        <v>106000</v>
      </c>
      <c r="L56" s="118" t="s">
        <v>50</v>
      </c>
    </row>
    <row r="57" spans="2:12">
      <c r="B57" s="13">
        <f t="shared" si="1"/>
        <v>1.1400000000000001</v>
      </c>
      <c r="C57" s="160" t="s">
        <v>95</v>
      </c>
      <c r="D57" s="160"/>
      <c r="E57" s="160"/>
      <c r="F57" s="160"/>
      <c r="G57" s="11" t="s">
        <v>24</v>
      </c>
      <c r="H57" s="16">
        <v>600</v>
      </c>
      <c r="I57" s="24">
        <v>300</v>
      </c>
      <c r="J57" s="21">
        <f t="shared" si="0"/>
        <v>180000</v>
      </c>
      <c r="L57" s="118" t="s">
        <v>50</v>
      </c>
    </row>
    <row r="58" spans="2:12">
      <c r="B58" s="13">
        <f t="shared" si="1"/>
        <v>1.1500000000000001</v>
      </c>
      <c r="C58" s="160" t="s">
        <v>96</v>
      </c>
      <c r="D58" s="160"/>
      <c r="E58" s="160"/>
      <c r="F58" s="160"/>
      <c r="G58" s="11" t="s">
        <v>93</v>
      </c>
      <c r="H58" s="16">
        <v>2</v>
      </c>
      <c r="I58" s="24">
        <v>20500</v>
      </c>
      <c r="J58" s="21">
        <f t="shared" si="0"/>
        <v>41000</v>
      </c>
      <c r="L58" s="118" t="s">
        <v>50</v>
      </c>
    </row>
    <row r="59" spans="2:12" ht="24.75" customHeight="1">
      <c r="B59" s="13">
        <f t="shared" si="1"/>
        <v>1.1600000000000001</v>
      </c>
      <c r="C59" s="155" t="s">
        <v>97</v>
      </c>
      <c r="D59" s="155"/>
      <c r="E59" s="155"/>
      <c r="F59" s="155"/>
      <c r="G59" s="11" t="s">
        <v>24</v>
      </c>
      <c r="H59" s="16">
        <v>1</v>
      </c>
      <c r="I59" s="24">
        <v>7021</v>
      </c>
      <c r="J59" s="21">
        <f t="shared" si="0"/>
        <v>7021</v>
      </c>
      <c r="L59" s="118" t="s">
        <v>50</v>
      </c>
    </row>
    <row r="60" spans="2:12">
      <c r="B60" s="13">
        <f t="shared" si="1"/>
        <v>1.1700000000000002</v>
      </c>
      <c r="C60" s="159" t="s">
        <v>98</v>
      </c>
      <c r="D60" s="159"/>
      <c r="E60" s="159"/>
      <c r="F60" s="159"/>
      <c r="G60" s="159"/>
      <c r="H60" s="159"/>
      <c r="I60" s="159"/>
      <c r="J60" s="159"/>
      <c r="L60" s="118"/>
    </row>
    <row r="61" spans="2:12">
      <c r="B61" s="13">
        <v>1.19</v>
      </c>
      <c r="C61" s="155" t="s">
        <v>99</v>
      </c>
      <c r="D61" s="155"/>
      <c r="E61" s="155"/>
      <c r="F61" s="155"/>
      <c r="G61" s="11" t="s">
        <v>24</v>
      </c>
      <c r="H61" s="16">
        <v>9</v>
      </c>
      <c r="I61" s="24">
        <v>28000</v>
      </c>
      <c r="J61" s="21">
        <f>+ROUND(H61*I61,0)</f>
        <v>252000</v>
      </c>
      <c r="L61" s="118" t="s">
        <v>50</v>
      </c>
    </row>
    <row r="62" spans="2:12">
      <c r="B62" s="13">
        <f t="shared" si="1"/>
        <v>1.2</v>
      </c>
      <c r="C62" s="155" t="s">
        <v>100</v>
      </c>
      <c r="D62" s="155"/>
      <c r="E62" s="155"/>
      <c r="F62" s="155"/>
      <c r="G62" s="11" t="s">
        <v>24</v>
      </c>
      <c r="H62" s="16">
        <v>9</v>
      </c>
      <c r="I62" s="24">
        <v>15500</v>
      </c>
      <c r="J62" s="21">
        <f>+ROUND(H62*I62,0)</f>
        <v>139500</v>
      </c>
      <c r="L62" s="118" t="s">
        <v>50</v>
      </c>
    </row>
    <row r="63" spans="2:12">
      <c r="B63" s="13">
        <f t="shared" si="1"/>
        <v>1.21</v>
      </c>
      <c r="C63" s="155" t="s">
        <v>101</v>
      </c>
      <c r="D63" s="155"/>
      <c r="E63" s="155"/>
      <c r="F63" s="155"/>
      <c r="G63" s="11" t="s">
        <v>24</v>
      </c>
      <c r="H63" s="16">
        <v>9</v>
      </c>
      <c r="I63" s="24">
        <v>20000</v>
      </c>
      <c r="J63" s="21">
        <f>+ROUND(H63*I63,0)</f>
        <v>180000</v>
      </c>
      <c r="L63" s="118" t="s">
        <v>50</v>
      </c>
    </row>
    <row r="64" spans="2:12">
      <c r="B64" s="13">
        <f t="shared" si="1"/>
        <v>1.22</v>
      </c>
      <c r="C64" s="155" t="s">
        <v>102</v>
      </c>
      <c r="D64" s="155"/>
      <c r="E64" s="155"/>
      <c r="F64" s="155"/>
      <c r="G64" s="11" t="s">
        <v>24</v>
      </c>
      <c r="H64" s="16">
        <v>9</v>
      </c>
      <c r="I64" s="24">
        <v>17500</v>
      </c>
      <c r="J64" s="21">
        <f>+ROUND(H64*I64,0)</f>
        <v>157500</v>
      </c>
      <c r="L64" s="118" t="s">
        <v>50</v>
      </c>
    </row>
    <row r="65" spans="2:12">
      <c r="B65" s="153"/>
      <c r="C65" s="153"/>
      <c r="D65" s="153"/>
      <c r="E65" s="153"/>
      <c r="F65" s="153"/>
      <c r="G65" s="142" t="s">
        <v>57</v>
      </c>
      <c r="H65" s="142"/>
      <c r="I65" s="142"/>
      <c r="J65" s="20">
        <f>SUM(J44:J64)</f>
        <v>2500253</v>
      </c>
      <c r="L65" s="118"/>
    </row>
    <row r="66" spans="2:12">
      <c r="B66" s="153"/>
      <c r="C66" s="153"/>
      <c r="D66" s="153"/>
      <c r="E66" s="153"/>
      <c r="F66" s="153"/>
      <c r="G66" s="142" t="s">
        <v>78</v>
      </c>
      <c r="H66" s="142"/>
      <c r="I66" s="142"/>
      <c r="J66" s="20">
        <f>J65</f>
        <v>2500253</v>
      </c>
      <c r="L66" s="118"/>
    </row>
    <row r="67" spans="2:12">
      <c r="B67" s="150"/>
      <c r="C67" s="151"/>
      <c r="D67" s="151"/>
      <c r="E67" s="151"/>
      <c r="F67" s="151"/>
      <c r="G67" s="151"/>
      <c r="H67" s="151"/>
      <c r="I67" s="151"/>
      <c r="J67" s="152"/>
      <c r="L67" s="118"/>
    </row>
    <row r="68" spans="2:12">
      <c r="B68" s="142" t="s">
        <v>103</v>
      </c>
      <c r="C68" s="142"/>
      <c r="D68" s="142"/>
      <c r="E68" s="142"/>
      <c r="F68" s="142"/>
      <c r="G68" s="142"/>
      <c r="H68" s="142"/>
      <c r="I68" s="142"/>
      <c r="J68" s="22">
        <f>J66+J35+J14+J39</f>
        <v>5707835</v>
      </c>
      <c r="L68" s="118"/>
    </row>
    <row r="69" spans="2:12">
      <c r="B69" s="156" t="s">
        <v>104</v>
      </c>
      <c r="C69" s="157"/>
      <c r="D69" s="157"/>
      <c r="E69" s="157"/>
      <c r="F69" s="157"/>
      <c r="G69" s="157"/>
      <c r="H69" s="158"/>
      <c r="I69" s="58">
        <f>'AIU COMPONENTES'!K37</f>
        <v>0.2155691431164356</v>
      </c>
      <c r="J69" s="22">
        <f>J68*I69</f>
        <v>1230433.1000000001</v>
      </c>
      <c r="L69" s="118"/>
    </row>
    <row r="70" spans="2:12">
      <c r="B70" s="142" t="s">
        <v>105</v>
      </c>
      <c r="C70" s="142"/>
      <c r="D70" s="142"/>
      <c r="E70" s="142"/>
      <c r="F70" s="142"/>
      <c r="G70" s="142"/>
      <c r="H70" s="142"/>
      <c r="I70" s="142"/>
      <c r="J70" s="22">
        <f>ROUND(J68+J69,0)</f>
        <v>6938268</v>
      </c>
      <c r="L70" s="118"/>
    </row>
    <row r="71" spans="2:12">
      <c r="B71" s="153"/>
      <c r="C71" s="153"/>
      <c r="D71" s="153"/>
      <c r="E71" s="153"/>
      <c r="F71" s="153"/>
      <c r="G71" s="153"/>
      <c r="H71" s="153"/>
      <c r="I71" s="153"/>
      <c r="J71" s="153"/>
      <c r="L71" s="118"/>
    </row>
    <row r="72" spans="2:12">
      <c r="B72" s="161" t="s">
        <v>106</v>
      </c>
      <c r="C72" s="161"/>
      <c r="D72" s="161"/>
      <c r="E72" s="161"/>
      <c r="F72" s="161"/>
      <c r="G72" s="161"/>
      <c r="H72" s="161"/>
      <c r="I72" s="161"/>
      <c r="J72" s="161"/>
      <c r="L72" s="118"/>
    </row>
    <row r="73" spans="2:12">
      <c r="B73" s="161"/>
      <c r="C73" s="161"/>
      <c r="D73" s="161"/>
      <c r="E73" s="161"/>
      <c r="F73" s="161"/>
      <c r="G73" s="161"/>
      <c r="H73" s="161"/>
      <c r="I73" s="161"/>
      <c r="J73" s="161"/>
      <c r="L73" s="118"/>
    </row>
    <row r="74" spans="2:12">
      <c r="B74" s="29"/>
      <c r="C74" s="29"/>
      <c r="D74" s="29"/>
      <c r="E74" s="29"/>
      <c r="F74" s="29"/>
      <c r="G74" s="29"/>
      <c r="H74" s="29"/>
      <c r="I74" s="29"/>
      <c r="J74" s="29"/>
      <c r="L74" s="118"/>
    </row>
    <row r="75" spans="2:12">
      <c r="L75" s="118"/>
    </row>
  </sheetData>
  <mergeCells count="73">
    <mergeCell ref="B14:F14"/>
    <mergeCell ref="B2:J2"/>
    <mergeCell ref="B3:J3"/>
    <mergeCell ref="B4:J4"/>
    <mergeCell ref="B5:J5"/>
    <mergeCell ref="B6:C6"/>
    <mergeCell ref="D6:J6"/>
    <mergeCell ref="B7:J7"/>
    <mergeCell ref="B8:J8"/>
    <mergeCell ref="B9:E9"/>
    <mergeCell ref="C10:J10"/>
    <mergeCell ref="C13:E13"/>
    <mergeCell ref="G14:I14"/>
    <mergeCell ref="C11:E11"/>
    <mergeCell ref="C12:E12"/>
    <mergeCell ref="C18:J18"/>
    <mergeCell ref="C19:E19"/>
    <mergeCell ref="B20:F20"/>
    <mergeCell ref="G20:I20"/>
    <mergeCell ref="B15:J15"/>
    <mergeCell ref="B16:J16"/>
    <mergeCell ref="B17:E17"/>
    <mergeCell ref="B26:F26"/>
    <mergeCell ref="G26:I26"/>
    <mergeCell ref="B21:J21"/>
    <mergeCell ref="C22:J22"/>
    <mergeCell ref="B23:B25"/>
    <mergeCell ref="C23:E25"/>
    <mergeCell ref="C44:F44"/>
    <mergeCell ref="C45:F45"/>
    <mergeCell ref="B41:J41"/>
    <mergeCell ref="B42:F42"/>
    <mergeCell ref="C43:J43"/>
    <mergeCell ref="C50:F50"/>
    <mergeCell ref="C48:F48"/>
    <mergeCell ref="C52:F52"/>
    <mergeCell ref="C46:F46"/>
    <mergeCell ref="C47:F47"/>
    <mergeCell ref="B71:J71"/>
    <mergeCell ref="B72:J73"/>
    <mergeCell ref="B68:I68"/>
    <mergeCell ref="B70:I70"/>
    <mergeCell ref="C64:F64"/>
    <mergeCell ref="B65:F66"/>
    <mergeCell ref="G65:I65"/>
    <mergeCell ref="G66:I66"/>
    <mergeCell ref="B40:J40"/>
    <mergeCell ref="B67:J67"/>
    <mergeCell ref="B69:H69"/>
    <mergeCell ref="C62:F62"/>
    <mergeCell ref="C63:F63"/>
    <mergeCell ref="C59:F59"/>
    <mergeCell ref="C60:J60"/>
    <mergeCell ref="C61:F61"/>
    <mergeCell ref="C57:F57"/>
    <mergeCell ref="C58:F58"/>
    <mergeCell ref="C55:F55"/>
    <mergeCell ref="C56:F56"/>
    <mergeCell ref="C54:F54"/>
    <mergeCell ref="C51:F51"/>
    <mergeCell ref="C53:F53"/>
    <mergeCell ref="C49:F49"/>
    <mergeCell ref="G39:I39"/>
    <mergeCell ref="C38:F38"/>
    <mergeCell ref="U38:V38"/>
    <mergeCell ref="C37:J37"/>
    <mergeCell ref="B27:J27"/>
    <mergeCell ref="B34:F35"/>
    <mergeCell ref="G34:I34"/>
    <mergeCell ref="G35:I35"/>
    <mergeCell ref="C28:J28"/>
    <mergeCell ref="B29:B33"/>
    <mergeCell ref="C29:E3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K37"/>
  <sheetViews>
    <sheetView workbookViewId="0">
      <selection activeCell="B12" sqref="B12:K12"/>
    </sheetView>
  </sheetViews>
  <sheetFormatPr defaultColWidth="11.42578125" defaultRowHeight="12.75"/>
  <cols>
    <col min="1" max="1" width="6.140625" style="1" customWidth="1"/>
    <col min="2" max="2" width="8.85546875" style="1" customWidth="1"/>
    <col min="3" max="3" width="11.7109375" style="1" customWidth="1"/>
    <col min="4" max="6" width="11.42578125" style="1"/>
    <col min="7" max="7" width="12.42578125" style="1" customWidth="1"/>
    <col min="8" max="8" width="0.5703125" style="1" customWidth="1"/>
    <col min="9" max="9" width="15.42578125" style="1" customWidth="1"/>
    <col min="10" max="10" width="16.42578125" style="1" customWidth="1"/>
    <col min="11" max="11" width="14.42578125" style="1" customWidth="1"/>
    <col min="12" max="16384" width="11.42578125" style="1"/>
  </cols>
  <sheetData>
    <row r="2" spans="2:11">
      <c r="B2" s="167" t="s">
        <v>28</v>
      </c>
      <c r="C2" s="167"/>
      <c r="D2" s="167"/>
      <c r="E2" s="167"/>
      <c r="F2" s="167"/>
      <c r="G2" s="167"/>
      <c r="H2" s="167"/>
      <c r="I2" s="167"/>
      <c r="J2" s="167"/>
      <c r="K2" s="167"/>
    </row>
    <row r="3" spans="2:11">
      <c r="B3" s="167"/>
      <c r="C3" s="167"/>
      <c r="D3" s="167"/>
      <c r="E3" s="167"/>
      <c r="F3" s="167"/>
      <c r="G3" s="167"/>
      <c r="H3" s="167"/>
      <c r="I3" s="167"/>
      <c r="J3" s="167"/>
      <c r="K3" s="167"/>
    </row>
    <row r="4" spans="2:11">
      <c r="B4" s="206" t="s">
        <v>107</v>
      </c>
      <c r="C4" s="206"/>
      <c r="D4" s="206"/>
      <c r="E4" s="206"/>
      <c r="F4" s="206"/>
      <c r="G4" s="206"/>
      <c r="H4" s="206"/>
      <c r="I4" s="206"/>
      <c r="J4" s="206"/>
      <c r="K4" s="206"/>
    </row>
    <row r="5" spans="2:11">
      <c r="B5" s="170"/>
      <c r="C5" s="170"/>
      <c r="D5" s="170"/>
      <c r="E5" s="170"/>
      <c r="F5" s="170"/>
      <c r="G5" s="170"/>
      <c r="H5" s="170"/>
      <c r="I5" s="170"/>
      <c r="J5" s="170"/>
      <c r="K5" s="170"/>
    </row>
    <row r="6" spans="2:11" ht="57" customHeight="1">
      <c r="B6" s="171" t="s">
        <v>30</v>
      </c>
      <c r="C6" s="171"/>
      <c r="D6" s="172" t="s">
        <v>31</v>
      </c>
      <c r="E6" s="172"/>
      <c r="F6" s="172"/>
      <c r="G6" s="172"/>
      <c r="H6" s="172"/>
      <c r="I6" s="172"/>
      <c r="J6" s="172"/>
      <c r="K6" s="172"/>
    </row>
    <row r="7" spans="2:11" ht="13.5" thickBot="1">
      <c r="B7" s="171"/>
      <c r="C7" s="171"/>
      <c r="D7" s="171"/>
      <c r="E7" s="171"/>
      <c r="F7" s="171"/>
      <c r="G7" s="171"/>
      <c r="H7" s="171"/>
      <c r="I7" s="171"/>
      <c r="J7" s="171"/>
      <c r="K7" s="171"/>
    </row>
    <row r="8" spans="2:11" ht="13.5" thickBot="1">
      <c r="B8" s="207" t="s">
        <v>108</v>
      </c>
      <c r="C8" s="208"/>
      <c r="D8" s="208"/>
      <c r="E8" s="208"/>
      <c r="F8" s="208"/>
      <c r="G8" s="208"/>
      <c r="H8" s="208"/>
      <c r="I8" s="208"/>
      <c r="J8" s="208"/>
      <c r="K8" s="209"/>
    </row>
    <row r="9" spans="2:11">
      <c r="B9" s="210" t="s">
        <v>109</v>
      </c>
      <c r="C9" s="211"/>
      <c r="D9" s="211"/>
      <c r="E9" s="212">
        <f>'COMPONENTES A, B Y C'!J68</f>
        <v>5707835</v>
      </c>
      <c r="F9" s="212"/>
      <c r="G9" s="213"/>
      <c r="H9" s="32"/>
      <c r="I9" s="33" t="s">
        <v>110</v>
      </c>
      <c r="J9" s="214"/>
      <c r="K9" s="215"/>
    </row>
    <row r="10" spans="2:11" ht="13.5" thickBot="1">
      <c r="B10" s="200" t="s">
        <v>111</v>
      </c>
      <c r="C10" s="201"/>
      <c r="D10" s="201"/>
      <c r="E10" s="37">
        <v>5.5</v>
      </c>
      <c r="F10" s="202" t="s">
        <v>112</v>
      </c>
      <c r="G10" s="203"/>
      <c r="H10" s="34"/>
      <c r="I10" s="35" t="s">
        <v>113</v>
      </c>
      <c r="J10" s="204"/>
      <c r="K10" s="205"/>
    </row>
    <row r="11" spans="2:11">
      <c r="B11" s="15"/>
      <c r="C11" s="14"/>
      <c r="D11" s="14"/>
      <c r="E11" s="14"/>
      <c r="F11" s="14"/>
      <c r="G11" s="14"/>
      <c r="H11" s="14"/>
      <c r="I11" s="14"/>
      <c r="J11" s="14"/>
      <c r="K11" s="14"/>
    </row>
    <row r="12" spans="2:11">
      <c r="B12" s="196" t="s">
        <v>114</v>
      </c>
      <c r="C12" s="196"/>
      <c r="D12" s="196"/>
      <c r="E12" s="196"/>
      <c r="F12" s="196"/>
      <c r="G12" s="196"/>
      <c r="H12" s="196"/>
      <c r="I12" s="196"/>
      <c r="J12" s="196"/>
      <c r="K12" s="196"/>
    </row>
    <row r="13" spans="2:11">
      <c r="B13" s="38">
        <v>1.1000000000000001</v>
      </c>
      <c r="C13" s="197" t="s">
        <v>115</v>
      </c>
      <c r="D13" s="197"/>
      <c r="E13" s="197"/>
      <c r="F13" s="197"/>
      <c r="G13" s="197"/>
      <c r="H13" s="197"/>
      <c r="I13" s="197"/>
      <c r="J13" s="197"/>
      <c r="K13" s="197"/>
    </row>
    <row r="14" spans="2:11">
      <c r="B14" s="39" t="s">
        <v>116</v>
      </c>
      <c r="C14" s="191" t="s">
        <v>117</v>
      </c>
      <c r="D14" s="198"/>
      <c r="E14" s="40"/>
      <c r="F14" s="41"/>
      <c r="G14" s="199"/>
      <c r="H14" s="199"/>
      <c r="I14" s="42"/>
      <c r="J14" s="43" t="s">
        <v>118</v>
      </c>
      <c r="K14" s="38" t="s">
        <v>119</v>
      </c>
    </row>
    <row r="15" spans="2:11">
      <c r="B15" s="44">
        <f>B13+0.001</f>
        <v>1.101</v>
      </c>
      <c r="C15" s="193" t="s">
        <v>120</v>
      </c>
      <c r="D15" s="194"/>
      <c r="E15" s="194"/>
      <c r="F15" s="194"/>
      <c r="G15" s="194"/>
      <c r="H15" s="194"/>
      <c r="I15" s="195"/>
      <c r="J15" s="45">
        <v>0.05</v>
      </c>
      <c r="K15" s="46">
        <f>ROUND((($E$9*ROUND((1+$L$36),4)))*J15,0)</f>
        <v>285392</v>
      </c>
    </row>
    <row r="16" spans="2:11">
      <c r="B16" s="44">
        <f>B15+0.001</f>
        <v>1.1019999999999999</v>
      </c>
      <c r="C16" s="193" t="s">
        <v>121</v>
      </c>
      <c r="D16" s="194"/>
      <c r="E16" s="194"/>
      <c r="F16" s="194"/>
      <c r="G16" s="194"/>
      <c r="H16" s="194"/>
      <c r="I16" s="195"/>
      <c r="J16" s="45">
        <f>6.9/1000</f>
        <v>6.9000000000000008E-3</v>
      </c>
      <c r="K16" s="46">
        <f>ROUND((($E$9*ROUND((1+$L$36),4)))*J16,0)</f>
        <v>39384</v>
      </c>
    </row>
    <row r="17" spans="2:11">
      <c r="B17" s="44">
        <f>B16+0.001</f>
        <v>1.1029999999999998</v>
      </c>
      <c r="C17" s="193" t="s">
        <v>122</v>
      </c>
      <c r="D17" s="194"/>
      <c r="E17" s="194"/>
      <c r="F17" s="194"/>
      <c r="G17" s="194"/>
      <c r="H17" s="194"/>
      <c r="I17" s="195"/>
      <c r="J17" s="45">
        <v>0.02</v>
      </c>
      <c r="K17" s="46">
        <f>ROUND((($E$9*ROUND((1+$L$36),4)))*J17,0)</f>
        <v>114157</v>
      </c>
    </row>
    <row r="18" spans="2:11">
      <c r="B18" s="44">
        <f>B17+0.001</f>
        <v>1.1039999999999996</v>
      </c>
      <c r="C18" s="193" t="s">
        <v>123</v>
      </c>
      <c r="D18" s="194"/>
      <c r="E18" s="194"/>
      <c r="F18" s="194"/>
      <c r="G18" s="194"/>
      <c r="H18" s="194"/>
      <c r="I18" s="195"/>
      <c r="J18" s="45">
        <v>5.0000000000000001E-3</v>
      </c>
      <c r="K18" s="46">
        <f>ROUND((($E$9*ROUND((1+$L$36),4)))*J18,0)</f>
        <v>28539</v>
      </c>
    </row>
    <row r="19" spans="2:11">
      <c r="B19" s="47"/>
      <c r="C19" s="183" t="s">
        <v>124</v>
      </c>
      <c r="D19" s="184"/>
      <c r="E19" s="184"/>
      <c r="F19" s="184"/>
      <c r="G19" s="184"/>
      <c r="H19" s="184"/>
      <c r="I19" s="184"/>
      <c r="J19" s="184"/>
      <c r="K19" s="48">
        <f>SUM(K15:K18)</f>
        <v>467472</v>
      </c>
    </row>
    <row r="20" spans="2:11">
      <c r="B20" s="47"/>
      <c r="C20" s="49"/>
      <c r="D20" s="49"/>
      <c r="E20" s="49"/>
      <c r="F20" s="49"/>
      <c r="G20" s="49"/>
      <c r="H20" s="49"/>
      <c r="I20" s="49"/>
      <c r="J20" s="49"/>
      <c r="K20" s="49"/>
    </row>
    <row r="21" spans="2:11">
      <c r="B21" s="38">
        <f>B13+0.1</f>
        <v>1.2000000000000002</v>
      </c>
      <c r="C21" s="187" t="s">
        <v>125</v>
      </c>
      <c r="D21" s="187"/>
      <c r="E21" s="187"/>
      <c r="F21" s="187"/>
      <c r="G21" s="187"/>
      <c r="H21" s="187"/>
      <c r="I21" s="187"/>
      <c r="J21" s="187"/>
      <c r="K21" s="187"/>
    </row>
    <row r="22" spans="2:11" ht="38.25">
      <c r="B22" s="39" t="s">
        <v>116</v>
      </c>
      <c r="C22" s="188" t="s">
        <v>117</v>
      </c>
      <c r="D22" s="188"/>
      <c r="E22" s="189" t="s">
        <v>126</v>
      </c>
      <c r="F22" s="190"/>
      <c r="G22" s="191" t="s">
        <v>127</v>
      </c>
      <c r="H22" s="192"/>
      <c r="I22" s="39" t="s">
        <v>128</v>
      </c>
      <c r="J22" s="43" t="s">
        <v>129</v>
      </c>
      <c r="K22" s="38" t="s">
        <v>119</v>
      </c>
    </row>
    <row r="23" spans="2:11" ht="25.5">
      <c r="B23" s="44">
        <f>B21+0.001</f>
        <v>1.2010000000000001</v>
      </c>
      <c r="C23" s="50" t="s">
        <v>130</v>
      </c>
      <c r="D23" s="185" t="s">
        <v>131</v>
      </c>
      <c r="E23" s="180">
        <f>ROUND(($E$9*ROUND((1+$L$40),4)),0)</f>
        <v>5707835</v>
      </c>
      <c r="F23" s="181"/>
      <c r="G23" s="182">
        <v>0.3</v>
      </c>
      <c r="H23" s="182"/>
      <c r="I23" s="51">
        <v>11.5</v>
      </c>
      <c r="J23" s="52">
        <v>2E-3</v>
      </c>
      <c r="K23" s="46">
        <f>ROUND((((((E23*G23)*J23)/12)*I23)+2500)*1.19,0)</f>
        <v>6881</v>
      </c>
    </row>
    <row r="24" spans="2:11" ht="38.25">
      <c r="B24" s="44">
        <f>B23+0.001</f>
        <v>1.202</v>
      </c>
      <c r="C24" s="50" t="s">
        <v>132</v>
      </c>
      <c r="D24" s="186"/>
      <c r="E24" s="180">
        <f>ROUND(($E$9*ROUND((1+$L$40),4)),0)</f>
        <v>5707835</v>
      </c>
      <c r="F24" s="181"/>
      <c r="G24" s="182">
        <v>0.1</v>
      </c>
      <c r="H24" s="182"/>
      <c r="I24" s="51">
        <v>41.5</v>
      </c>
      <c r="J24" s="52">
        <v>2E-3</v>
      </c>
      <c r="K24" s="46">
        <f>ROUND((((((E24*G24)*J24)/12)*I24)+2500)*1.19,0)</f>
        <v>7673</v>
      </c>
    </row>
    <row r="25" spans="2:11" ht="38.25">
      <c r="B25" s="44">
        <f>B24+0.001</f>
        <v>1.2029999999999998</v>
      </c>
      <c r="C25" s="50" t="s">
        <v>133</v>
      </c>
      <c r="D25" s="186"/>
      <c r="E25" s="180">
        <f>ROUND(($E$9*ROUND((1+$L$40),4)),0)</f>
        <v>5707835</v>
      </c>
      <c r="F25" s="181"/>
      <c r="G25" s="182">
        <v>0.3</v>
      </c>
      <c r="H25" s="182"/>
      <c r="I25" s="51">
        <v>60</v>
      </c>
      <c r="J25" s="52">
        <v>2E-3</v>
      </c>
      <c r="K25" s="46">
        <f>ROUND((((((E25*G25)*J25)/12)*I25)+2500)*1.19,0)</f>
        <v>23352</v>
      </c>
    </row>
    <row r="26" spans="2:11" ht="89.25">
      <c r="B26" s="44">
        <f>B25+0.001</f>
        <v>1.2039999999999997</v>
      </c>
      <c r="C26" s="50" t="s">
        <v>134</v>
      </c>
      <c r="D26" s="53" t="s">
        <v>135</v>
      </c>
      <c r="E26" s="180">
        <v>232000000</v>
      </c>
      <c r="F26" s="181"/>
      <c r="G26" s="182" t="s">
        <v>136</v>
      </c>
      <c r="H26" s="182"/>
      <c r="I26" s="51">
        <v>5.5</v>
      </c>
      <c r="J26" s="52">
        <v>3.0000000000000001E-3</v>
      </c>
      <c r="K26" s="46">
        <f>ROUND((((((E26)*J26)/12)*I26)+2500)*1.19,0)</f>
        <v>382585</v>
      </c>
    </row>
    <row r="27" spans="2:11">
      <c r="B27" s="15"/>
      <c r="C27" s="14"/>
      <c r="D27" s="14"/>
      <c r="E27" s="14"/>
      <c r="F27" s="14"/>
      <c r="G27" s="14"/>
      <c r="H27" s="14"/>
      <c r="I27" s="14"/>
      <c r="J27" s="14"/>
      <c r="K27" s="14"/>
    </row>
    <row r="28" spans="2:11">
      <c r="B28" s="47"/>
      <c r="C28" s="183" t="s">
        <v>137</v>
      </c>
      <c r="D28" s="184"/>
      <c r="E28" s="184"/>
      <c r="F28" s="184"/>
      <c r="G28" s="184"/>
      <c r="H28" s="184"/>
      <c r="I28" s="184"/>
      <c r="J28" s="184"/>
      <c r="K28" s="48">
        <f>ROUND(SUM(K23:K26),0)</f>
        <v>420491</v>
      </c>
    </row>
    <row r="29" spans="2:11">
      <c r="B29" s="47"/>
      <c r="C29" s="179"/>
      <c r="D29" s="179"/>
      <c r="E29" s="179"/>
      <c r="F29" s="179"/>
      <c r="G29" s="179"/>
      <c r="H29" s="179"/>
      <c r="I29" s="179"/>
      <c r="J29" s="179"/>
      <c r="K29" s="179"/>
    </row>
    <row r="30" spans="2:11">
      <c r="B30" s="47"/>
      <c r="C30" s="54" t="s">
        <v>138</v>
      </c>
      <c r="D30" s="55"/>
      <c r="E30" s="55"/>
      <c r="F30" s="55"/>
      <c r="G30" s="55"/>
      <c r="H30" s="55"/>
      <c r="I30" s="55"/>
      <c r="J30" s="55"/>
      <c r="K30" s="48">
        <f>ROUND(K19+K28,0)</f>
        <v>887963</v>
      </c>
    </row>
    <row r="31" spans="2:11">
      <c r="B31" s="47"/>
      <c r="C31" s="54" t="s">
        <v>139</v>
      </c>
      <c r="D31" s="55"/>
      <c r="E31" s="55"/>
      <c r="F31" s="55"/>
      <c r="G31" s="55"/>
      <c r="H31" s="55"/>
      <c r="I31" s="55"/>
      <c r="J31" s="55"/>
      <c r="K31" s="56">
        <f>+K30/E9</f>
        <v>0.15556914311643558</v>
      </c>
    </row>
    <row r="32" spans="2:11">
      <c r="B32" s="47"/>
      <c r="C32" s="179"/>
      <c r="D32" s="179"/>
      <c r="E32" s="179"/>
      <c r="F32" s="179"/>
      <c r="G32" s="179"/>
      <c r="H32" s="179"/>
      <c r="I32" s="179"/>
      <c r="J32" s="179"/>
      <c r="K32" s="179"/>
    </row>
    <row r="33" spans="2:11">
      <c r="B33" s="47"/>
      <c r="C33" s="54" t="s">
        <v>140</v>
      </c>
      <c r="D33" s="55"/>
      <c r="E33" s="55"/>
      <c r="F33" s="55"/>
      <c r="G33" s="55"/>
      <c r="H33" s="55"/>
      <c r="I33" s="55"/>
      <c r="J33" s="55"/>
      <c r="K33" s="36">
        <f>K31</f>
        <v>0.15556914311643558</v>
      </c>
    </row>
    <row r="34" spans="2:11">
      <c r="B34" s="57"/>
      <c r="C34" s="54" t="s">
        <v>141</v>
      </c>
      <c r="D34" s="55"/>
      <c r="E34" s="55"/>
      <c r="F34" s="55"/>
      <c r="G34" s="55"/>
      <c r="H34" s="55"/>
      <c r="I34" s="55"/>
      <c r="J34" s="55"/>
      <c r="K34" s="36">
        <v>0.01</v>
      </c>
    </row>
    <row r="35" spans="2:11">
      <c r="B35" s="57"/>
      <c r="C35" s="54" t="s">
        <v>142</v>
      </c>
      <c r="D35" s="55"/>
      <c r="E35" s="55"/>
      <c r="F35" s="55"/>
      <c r="G35" s="55"/>
      <c r="H35" s="55"/>
      <c r="I35" s="55"/>
      <c r="J35" s="55"/>
      <c r="K35" s="36">
        <v>0.05</v>
      </c>
    </row>
    <row r="36" spans="2:11">
      <c r="B36" s="47"/>
      <c r="C36" s="179"/>
      <c r="D36" s="179"/>
      <c r="E36" s="179"/>
      <c r="F36" s="179"/>
      <c r="G36" s="179"/>
      <c r="H36" s="179"/>
      <c r="I36" s="179"/>
      <c r="J36" s="179"/>
      <c r="K36" s="179"/>
    </row>
    <row r="37" spans="2:11">
      <c r="B37" s="47"/>
      <c r="C37" s="54" t="s">
        <v>143</v>
      </c>
      <c r="D37" s="55"/>
      <c r="E37" s="55"/>
      <c r="F37" s="55"/>
      <c r="G37" s="55"/>
      <c r="H37" s="55"/>
      <c r="I37" s="55"/>
      <c r="J37" s="55"/>
      <c r="K37" s="36">
        <f>SUM(K33:K35)</f>
        <v>0.2155691431164356</v>
      </c>
    </row>
  </sheetData>
  <mergeCells count="40">
    <mergeCell ref="B10:D10"/>
    <mergeCell ref="F10:G10"/>
    <mergeCell ref="J10:K10"/>
    <mergeCell ref="B2:K2"/>
    <mergeCell ref="B3:K3"/>
    <mergeCell ref="B4:K4"/>
    <mergeCell ref="B5:K5"/>
    <mergeCell ref="B6:C6"/>
    <mergeCell ref="D6:K6"/>
    <mergeCell ref="B7:K7"/>
    <mergeCell ref="B8:K8"/>
    <mergeCell ref="B9:D9"/>
    <mergeCell ref="E9:G9"/>
    <mergeCell ref="J9:K9"/>
    <mergeCell ref="C16:I16"/>
    <mergeCell ref="C17:I17"/>
    <mergeCell ref="C18:I18"/>
    <mergeCell ref="B12:K12"/>
    <mergeCell ref="C13:K13"/>
    <mergeCell ref="C14:D14"/>
    <mergeCell ref="G14:H14"/>
    <mergeCell ref="C15:I15"/>
    <mergeCell ref="C19:J19"/>
    <mergeCell ref="C21:K21"/>
    <mergeCell ref="C22:D22"/>
    <mergeCell ref="E22:F22"/>
    <mergeCell ref="G22:H22"/>
    <mergeCell ref="D23:D25"/>
    <mergeCell ref="E23:F23"/>
    <mergeCell ref="G23:H23"/>
    <mergeCell ref="E24:F24"/>
    <mergeCell ref="G24:H24"/>
    <mergeCell ref="E25:F25"/>
    <mergeCell ref="G25:H25"/>
    <mergeCell ref="C36:K36"/>
    <mergeCell ref="E26:F26"/>
    <mergeCell ref="G26:H26"/>
    <mergeCell ref="C28:J28"/>
    <mergeCell ref="C29:K29"/>
    <mergeCell ref="C32:K3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L69"/>
  <sheetViews>
    <sheetView tabSelected="1" topLeftCell="C1" workbookViewId="0">
      <selection activeCell="G9" sqref="G9:I16"/>
    </sheetView>
  </sheetViews>
  <sheetFormatPr defaultColWidth="11.42578125" defaultRowHeight="12.75"/>
  <cols>
    <col min="1" max="1" width="11.42578125" style="1"/>
    <col min="2" max="2" width="11.5703125" style="1" bestFit="1" customWidth="1"/>
    <col min="3" max="3" width="33.28515625" style="1" customWidth="1"/>
    <col min="4" max="4" width="13.5703125" style="1" customWidth="1"/>
    <col min="5" max="5" width="11.42578125" style="1"/>
    <col min="6" max="6" width="5.5703125" style="1" customWidth="1"/>
    <col min="7" max="7" width="16.85546875" style="1" customWidth="1"/>
    <col min="8" max="8" width="19.28515625" style="1" customWidth="1"/>
    <col min="9" max="9" width="24.7109375" style="1" customWidth="1"/>
    <col min="10" max="10" width="11.42578125" style="1"/>
    <col min="11" max="11" width="13" style="1" hidden="1" customWidth="1"/>
    <col min="12" max="12" width="12.140625" style="1" bestFit="1" customWidth="1"/>
    <col min="13" max="16384" width="11.42578125" style="1"/>
  </cols>
  <sheetData>
    <row r="1" spans="2:11" ht="13.5" thickBot="1"/>
    <row r="2" spans="2:11">
      <c r="B2" s="306" t="s">
        <v>28</v>
      </c>
      <c r="C2" s="307"/>
      <c r="D2" s="307"/>
      <c r="E2" s="307"/>
      <c r="F2" s="307"/>
      <c r="G2" s="307"/>
      <c r="H2" s="307"/>
      <c r="I2" s="308"/>
    </row>
    <row r="3" spans="2:11">
      <c r="B3" s="309"/>
      <c r="C3" s="310"/>
      <c r="D3" s="310"/>
      <c r="E3" s="310"/>
      <c r="F3" s="310"/>
      <c r="G3" s="310"/>
      <c r="H3" s="310"/>
      <c r="I3" s="311"/>
    </row>
    <row r="4" spans="2:11">
      <c r="B4" s="312" t="s">
        <v>144</v>
      </c>
      <c r="C4" s="313"/>
      <c r="D4" s="313"/>
      <c r="E4" s="313"/>
      <c r="F4" s="313"/>
      <c r="G4" s="313"/>
      <c r="H4" s="313"/>
      <c r="I4" s="314"/>
    </row>
    <row r="5" spans="2:11">
      <c r="B5" s="315"/>
      <c r="C5" s="316"/>
      <c r="D5" s="316"/>
      <c r="E5" s="316"/>
      <c r="F5" s="316"/>
      <c r="G5" s="316"/>
      <c r="H5" s="316"/>
      <c r="I5" s="317"/>
    </row>
    <row r="6" spans="2:11">
      <c r="B6" s="68"/>
      <c r="C6" s="69"/>
      <c r="D6" s="318"/>
      <c r="E6" s="318"/>
      <c r="F6" s="99"/>
      <c r="G6" s="318"/>
      <c r="H6" s="318"/>
      <c r="I6" s="319"/>
    </row>
    <row r="7" spans="2:11" ht="13.5" thickBot="1">
      <c r="B7" s="300" t="s">
        <v>145</v>
      </c>
      <c r="C7" s="301"/>
      <c r="D7" s="302"/>
      <c r="E7" s="302"/>
      <c r="F7" s="100"/>
      <c r="G7" s="101" t="s">
        <v>113</v>
      </c>
      <c r="H7" s="101"/>
      <c r="I7" s="106"/>
    </row>
    <row r="8" spans="2:11" ht="13.5" thickBot="1">
      <c r="B8" s="303" t="s">
        <v>146</v>
      </c>
      <c r="C8" s="304"/>
      <c r="D8" s="305" t="s">
        <v>147</v>
      </c>
      <c r="E8" s="305"/>
      <c r="F8" s="100"/>
      <c r="G8" s="70" t="s">
        <v>148</v>
      </c>
      <c r="H8" s="70"/>
      <c r="I8" s="71"/>
    </row>
    <row r="9" spans="2:11">
      <c r="B9" s="303" t="s">
        <v>149</v>
      </c>
      <c r="C9" s="304"/>
      <c r="D9" s="305" t="s">
        <v>150</v>
      </c>
      <c r="E9" s="305"/>
      <c r="F9" s="100"/>
      <c r="G9" s="274" t="s">
        <v>31</v>
      </c>
      <c r="H9" s="275"/>
      <c r="I9" s="276"/>
    </row>
    <row r="10" spans="2:11" ht="9" customHeight="1" thickBot="1">
      <c r="B10" s="72"/>
      <c r="C10" s="102"/>
      <c r="D10" s="102"/>
      <c r="E10" s="102"/>
      <c r="F10" s="102"/>
      <c r="G10" s="277"/>
      <c r="H10" s="278"/>
      <c r="I10" s="279"/>
    </row>
    <row r="11" spans="2:11" ht="16.5" customHeight="1" thickBot="1">
      <c r="B11" s="283" t="s">
        <v>151</v>
      </c>
      <c r="C11" s="284"/>
      <c r="D11" s="285">
        <v>537320663</v>
      </c>
      <c r="E11" s="286"/>
      <c r="F11" s="103"/>
      <c r="G11" s="277"/>
      <c r="H11" s="278"/>
      <c r="I11" s="279"/>
    </row>
    <row r="12" spans="2:11" ht="16.5" customHeight="1" thickBot="1">
      <c r="B12" s="270" t="s">
        <v>152</v>
      </c>
      <c r="C12" s="287"/>
      <c r="D12" s="288">
        <f>'COMPONENTES A, B Y C'!J70</f>
        <v>6938268</v>
      </c>
      <c r="E12" s="289"/>
      <c r="F12" s="103"/>
      <c r="G12" s="277"/>
      <c r="H12" s="278"/>
      <c r="I12" s="279"/>
    </row>
    <row r="13" spans="2:11" ht="14.25" customHeight="1" thickBot="1">
      <c r="B13" s="290"/>
      <c r="C13" s="291"/>
      <c r="D13" s="292"/>
      <c r="E13" s="293"/>
      <c r="F13" s="103"/>
      <c r="G13" s="277"/>
      <c r="H13" s="278"/>
      <c r="I13" s="279"/>
    </row>
    <row r="14" spans="2:11" ht="14.25" customHeight="1" thickBot="1">
      <c r="B14" s="294" t="s">
        <v>111</v>
      </c>
      <c r="C14" s="295"/>
      <c r="D14" s="116">
        <v>5.5</v>
      </c>
      <c r="E14" s="117" t="s">
        <v>112</v>
      </c>
      <c r="F14" s="103"/>
      <c r="G14" s="277"/>
      <c r="H14" s="278"/>
      <c r="I14" s="279"/>
      <c r="K14" s="126">
        <f>D11+D12</f>
        <v>544258931</v>
      </c>
    </row>
    <row r="15" spans="2:11" ht="9" customHeight="1" thickBot="1">
      <c r="B15" s="296"/>
      <c r="C15" s="297"/>
      <c r="D15" s="298"/>
      <c r="E15" s="299"/>
      <c r="F15" s="103"/>
      <c r="G15" s="277"/>
      <c r="H15" s="278"/>
      <c r="I15" s="279"/>
    </row>
    <row r="16" spans="2:11" ht="16.5" customHeight="1" thickBot="1">
      <c r="B16" s="270" t="s">
        <v>153</v>
      </c>
      <c r="C16" s="271"/>
      <c r="D16" s="272">
        <v>3424049</v>
      </c>
      <c r="E16" s="273"/>
      <c r="F16" s="104"/>
      <c r="G16" s="280"/>
      <c r="H16" s="281"/>
      <c r="I16" s="282"/>
    </row>
    <row r="17" spans="2:12">
      <c r="B17" s="69"/>
      <c r="C17" s="70"/>
      <c r="D17" s="70"/>
      <c r="E17" s="70"/>
      <c r="F17" s="70"/>
      <c r="G17" s="69"/>
      <c r="H17" s="69"/>
      <c r="I17" s="69"/>
    </row>
    <row r="18" spans="2:12">
      <c r="B18" s="265" t="s">
        <v>154</v>
      </c>
      <c r="C18" s="265"/>
      <c r="D18" s="265"/>
      <c r="E18" s="265"/>
      <c r="F18" s="265"/>
      <c r="G18" s="265"/>
      <c r="H18" s="265"/>
      <c r="I18" s="265"/>
    </row>
    <row r="19" spans="2:12">
      <c r="B19" s="254" t="s">
        <v>155</v>
      </c>
      <c r="C19" s="255"/>
      <c r="D19" s="255"/>
      <c r="E19" s="255"/>
      <c r="F19" s="255"/>
      <c r="G19" s="255"/>
      <c r="H19" s="255"/>
      <c r="I19" s="256"/>
    </row>
    <row r="20" spans="2:12" ht="25.5" customHeight="1">
      <c r="B20" s="74" t="s">
        <v>156</v>
      </c>
      <c r="C20" s="266" t="s">
        <v>0</v>
      </c>
      <c r="D20" s="267"/>
      <c r="E20" s="266" t="s">
        <v>1</v>
      </c>
      <c r="F20" s="267"/>
      <c r="G20" s="74" t="s">
        <v>157</v>
      </c>
      <c r="H20" s="74" t="s">
        <v>158</v>
      </c>
      <c r="I20" s="74" t="s">
        <v>159</v>
      </c>
    </row>
    <row r="21" spans="2:12">
      <c r="B21" s="75" t="s">
        <v>160</v>
      </c>
      <c r="C21" s="268"/>
      <c r="D21" s="269"/>
      <c r="E21" s="268"/>
      <c r="F21" s="269"/>
      <c r="G21" s="75" t="s">
        <v>161</v>
      </c>
      <c r="H21" s="75" t="s">
        <v>162</v>
      </c>
      <c r="I21" s="75" t="s">
        <v>163</v>
      </c>
      <c r="K21" s="1" t="s">
        <v>39</v>
      </c>
    </row>
    <row r="22" spans="2:12">
      <c r="B22" s="254" t="s">
        <v>164</v>
      </c>
      <c r="C22" s="255"/>
      <c r="D22" s="255"/>
      <c r="E22" s="255"/>
      <c r="F22" s="255"/>
      <c r="G22" s="255"/>
      <c r="H22" s="255"/>
      <c r="I22" s="256"/>
      <c r="K22" s="119"/>
    </row>
    <row r="23" spans="2:12">
      <c r="B23" s="73">
        <v>1</v>
      </c>
      <c r="C23" s="261" t="s">
        <v>165</v>
      </c>
      <c r="D23" s="262"/>
      <c r="E23" s="216">
        <v>5</v>
      </c>
      <c r="F23" s="217"/>
      <c r="G23" s="107">
        <v>0.25</v>
      </c>
      <c r="H23" s="76">
        <f>'TABLA PROF'!E3</f>
        <v>5720320</v>
      </c>
      <c r="I23" s="77">
        <f>ROUND(B23*G23*H23,0)</f>
        <v>1430080</v>
      </c>
      <c r="K23" s="119" t="s">
        <v>166</v>
      </c>
    </row>
    <row r="24" spans="2:12">
      <c r="B24" s="73">
        <v>1</v>
      </c>
      <c r="C24" s="218" t="s">
        <v>167</v>
      </c>
      <c r="D24" s="218"/>
      <c r="E24" s="216">
        <v>6</v>
      </c>
      <c r="F24" s="217"/>
      <c r="G24" s="107">
        <v>1</v>
      </c>
      <c r="H24" s="78">
        <f>'TABLA PROF'!E4</f>
        <v>5614634</v>
      </c>
      <c r="I24" s="77">
        <f>ROUND(B24*G24*H24,0)</f>
        <v>5614634</v>
      </c>
      <c r="K24" s="119" t="s">
        <v>166</v>
      </c>
    </row>
    <row r="25" spans="2:12">
      <c r="B25" s="73">
        <v>1</v>
      </c>
      <c r="C25" s="218" t="s">
        <v>168</v>
      </c>
      <c r="D25" s="218"/>
      <c r="E25" s="216">
        <v>7</v>
      </c>
      <c r="F25" s="217"/>
      <c r="G25" s="107">
        <v>0.25</v>
      </c>
      <c r="H25" s="79">
        <f>'TABLA PROF'!E5</f>
        <v>4534135</v>
      </c>
      <c r="I25" s="77">
        <f>ROUND(B25*G25*H25,0)</f>
        <v>1133534</v>
      </c>
      <c r="K25" s="119" t="s">
        <v>166</v>
      </c>
    </row>
    <row r="26" spans="2:12" ht="25.5" customHeight="1">
      <c r="B26" s="73">
        <v>1</v>
      </c>
      <c r="C26" s="218" t="s">
        <v>169</v>
      </c>
      <c r="D26" s="218"/>
      <c r="E26" s="216"/>
      <c r="F26" s="217"/>
      <c r="G26" s="107">
        <v>1</v>
      </c>
      <c r="H26" s="79">
        <f>'TABLA PROF'!E7</f>
        <v>3803763</v>
      </c>
      <c r="I26" s="77">
        <f>ROUND(B26*G26*H26,0)</f>
        <v>3803763</v>
      </c>
      <c r="K26" s="119" t="s">
        <v>166</v>
      </c>
    </row>
    <row r="27" spans="2:12" ht="18.75" customHeight="1">
      <c r="B27" s="80">
        <v>1</v>
      </c>
      <c r="C27" s="257" t="s">
        <v>170</v>
      </c>
      <c r="D27" s="257"/>
      <c r="E27" s="248">
        <v>8</v>
      </c>
      <c r="F27" s="250"/>
      <c r="G27" s="107">
        <v>0.25</v>
      </c>
      <c r="H27" s="79">
        <f>'TABLA PROF'!E6</f>
        <v>4127708</v>
      </c>
      <c r="I27" s="77">
        <f>ROUND(B27*G27*H27,0)</f>
        <v>1031927</v>
      </c>
      <c r="K27" s="119"/>
    </row>
    <row r="28" spans="2:12" ht="12.75" customHeight="1">
      <c r="B28" s="80">
        <v>1</v>
      </c>
      <c r="C28" s="219" t="s">
        <v>171</v>
      </c>
      <c r="D28" s="220"/>
      <c r="E28" s="248"/>
      <c r="F28" s="250"/>
      <c r="G28" s="107">
        <v>1</v>
      </c>
      <c r="H28" s="79">
        <f>'TABLA PROF'!E9</f>
        <v>2084288</v>
      </c>
      <c r="I28" s="77">
        <f>ROUND(B28*G28*H28,0)</f>
        <v>2084288</v>
      </c>
      <c r="K28" s="119" t="s">
        <v>166</v>
      </c>
    </row>
    <row r="29" spans="2:12">
      <c r="B29" s="263" t="s">
        <v>172</v>
      </c>
      <c r="C29" s="264"/>
      <c r="D29" s="264"/>
      <c r="E29" s="264"/>
      <c r="F29" s="264"/>
      <c r="G29" s="264"/>
      <c r="H29" s="109"/>
      <c r="I29" s="81">
        <f>SUM(I23:I28)</f>
        <v>15098226</v>
      </c>
      <c r="K29" s="119"/>
    </row>
    <row r="30" spans="2:12">
      <c r="B30" s="254"/>
      <c r="C30" s="255"/>
      <c r="D30" s="255"/>
      <c r="E30" s="255"/>
      <c r="F30" s="255"/>
      <c r="G30" s="255"/>
      <c r="H30" s="255"/>
      <c r="I30" s="256"/>
      <c r="K30" s="119"/>
    </row>
    <row r="31" spans="2:12" ht="25.5" customHeight="1">
      <c r="B31" s="258" t="s">
        <v>173</v>
      </c>
      <c r="C31" s="259"/>
      <c r="D31" s="260"/>
      <c r="E31" s="265" t="s">
        <v>174</v>
      </c>
      <c r="F31" s="265"/>
      <c r="G31" s="114" t="s">
        <v>175</v>
      </c>
      <c r="H31" s="113" t="s">
        <v>176</v>
      </c>
      <c r="I31" s="74" t="s">
        <v>119</v>
      </c>
      <c r="K31" s="119"/>
      <c r="L31" s="126"/>
    </row>
    <row r="32" spans="2:12" ht="39" customHeight="1">
      <c r="B32" s="231" t="s">
        <v>177</v>
      </c>
      <c r="C32" s="232"/>
      <c r="D32" s="233"/>
      <c r="E32" s="221">
        <v>5.5</v>
      </c>
      <c r="F32" s="222"/>
      <c r="G32" s="115" t="s">
        <v>18</v>
      </c>
      <c r="H32" s="105">
        <v>136170</v>
      </c>
      <c r="I32" s="82">
        <f>H32*E32</f>
        <v>748935</v>
      </c>
      <c r="K32" s="119" t="s">
        <v>50</v>
      </c>
    </row>
    <row r="33" spans="2:11" ht="40.5" customHeight="1">
      <c r="B33" s="231" t="s">
        <v>178</v>
      </c>
      <c r="C33" s="232"/>
      <c r="D33" s="233"/>
      <c r="E33" s="221">
        <v>5.5</v>
      </c>
      <c r="F33" s="222"/>
      <c r="G33" s="115" t="s">
        <v>18</v>
      </c>
      <c r="H33" s="105">
        <v>184000</v>
      </c>
      <c r="I33" s="82">
        <f>H33*E33</f>
        <v>1012000</v>
      </c>
      <c r="K33" s="119" t="s">
        <v>50</v>
      </c>
    </row>
    <row r="34" spans="2:11" ht="27" customHeight="1">
      <c r="B34" s="231" t="s">
        <v>15</v>
      </c>
      <c r="C34" s="232"/>
      <c r="D34" s="233"/>
      <c r="E34" s="246">
        <v>1</v>
      </c>
      <c r="F34" s="247"/>
      <c r="G34" s="115" t="s">
        <v>16</v>
      </c>
      <c r="H34" s="105">
        <f>'TABLA PROF'!E11</f>
        <v>1043625</v>
      </c>
      <c r="I34" s="82">
        <f>H34*E34</f>
        <v>1043625</v>
      </c>
      <c r="K34" s="119" t="s">
        <v>50</v>
      </c>
    </row>
    <row r="35" spans="2:11" ht="19.5" customHeight="1">
      <c r="B35" s="231" t="s">
        <v>179</v>
      </c>
      <c r="C35" s="232"/>
      <c r="D35" s="233"/>
      <c r="E35" s="246">
        <v>5.5</v>
      </c>
      <c r="F35" s="247"/>
      <c r="G35" s="115" t="s">
        <v>20</v>
      </c>
      <c r="H35" s="105">
        <f>'TABLA PROF'!E13</f>
        <v>142400</v>
      </c>
      <c r="I35" s="82">
        <f>H35*E35</f>
        <v>783200</v>
      </c>
      <c r="K35" s="119"/>
    </row>
    <row r="36" spans="2:11">
      <c r="B36" s="227" t="s">
        <v>180</v>
      </c>
      <c r="C36" s="227"/>
      <c r="D36" s="227"/>
      <c r="E36" s="227"/>
      <c r="F36" s="227"/>
      <c r="G36" s="227"/>
      <c r="H36" s="110"/>
      <c r="I36" s="48">
        <f>SUM(I32:I35)</f>
        <v>3587760</v>
      </c>
    </row>
    <row r="37" spans="2:11">
      <c r="B37" s="239"/>
      <c r="C37" s="240"/>
      <c r="D37" s="240"/>
      <c r="E37" s="240"/>
      <c r="F37" s="240"/>
      <c r="G37" s="240"/>
      <c r="H37" s="240"/>
      <c r="I37" s="241"/>
    </row>
    <row r="38" spans="2:11">
      <c r="B38" s="239" t="s">
        <v>181</v>
      </c>
      <c r="C38" s="240"/>
      <c r="D38" s="240"/>
      <c r="E38" s="240"/>
      <c r="F38" s="240"/>
      <c r="G38" s="240"/>
      <c r="H38" s="94"/>
      <c r="I38" s="48">
        <f>(I29*D14)+I36</f>
        <v>86628003</v>
      </c>
    </row>
    <row r="39" spans="2:11" ht="24.75" customHeight="1">
      <c r="B39" s="242" t="s">
        <v>182</v>
      </c>
      <c r="C39" s="243"/>
      <c r="D39" s="243"/>
      <c r="E39" s="243"/>
      <c r="F39" s="243"/>
      <c r="G39" s="243"/>
      <c r="H39" s="94"/>
      <c r="I39" s="83">
        <f>I38/D11</f>
        <v>0.16122216948876206</v>
      </c>
    </row>
    <row r="40" spans="2:11">
      <c r="B40" s="84"/>
      <c r="C40" s="84"/>
      <c r="D40" s="84"/>
      <c r="E40" s="244"/>
      <c r="F40" s="244"/>
      <c r="G40" s="84"/>
      <c r="H40" s="84"/>
      <c r="I40" s="85"/>
    </row>
    <row r="41" spans="2:11">
      <c r="B41" s="245" t="s">
        <v>183</v>
      </c>
      <c r="C41" s="245"/>
      <c r="D41" s="245"/>
      <c r="E41" s="245"/>
      <c r="F41" s="245"/>
      <c r="G41" s="245"/>
      <c r="H41" s="245"/>
      <c r="I41" s="245"/>
    </row>
    <row r="42" spans="2:11">
      <c r="B42" s="237" t="s">
        <v>184</v>
      </c>
      <c r="C42" s="237"/>
      <c r="D42" s="237"/>
      <c r="E42" s="237"/>
      <c r="F42" s="237"/>
      <c r="G42" s="237"/>
      <c r="H42" s="237"/>
      <c r="I42" s="238"/>
    </row>
    <row r="43" spans="2:11" ht="12.75" customHeight="1">
      <c r="B43" s="191" t="s">
        <v>117</v>
      </c>
      <c r="C43" s="198"/>
      <c r="D43" s="198"/>
      <c r="E43" s="198"/>
      <c r="F43" s="198"/>
      <c r="G43" s="192"/>
      <c r="H43" s="30" t="s">
        <v>118</v>
      </c>
      <c r="I43" s="38" t="s">
        <v>119</v>
      </c>
    </row>
    <row r="44" spans="2:11" ht="12.75" customHeight="1">
      <c r="B44" s="234" t="s">
        <v>185</v>
      </c>
      <c r="C44" s="235"/>
      <c r="D44" s="235"/>
      <c r="E44" s="235"/>
      <c r="F44" s="235"/>
      <c r="G44" s="236"/>
      <c r="H44" s="31">
        <v>0.05</v>
      </c>
      <c r="I44" s="46">
        <f>ROUND((($D$11)+D16)*H44,0)</f>
        <v>27037236</v>
      </c>
    </row>
    <row r="45" spans="2:11" ht="12.75" customHeight="1">
      <c r="B45" s="234" t="s">
        <v>186</v>
      </c>
      <c r="C45" s="235"/>
      <c r="D45" s="235"/>
      <c r="E45" s="235"/>
      <c r="F45" s="235"/>
      <c r="G45" s="236"/>
      <c r="H45" s="31">
        <v>6.8999999999999999E-3</v>
      </c>
      <c r="I45" s="46">
        <f>ROUND((($D$11)+D16)*H45,0)</f>
        <v>3731139</v>
      </c>
    </row>
    <row r="46" spans="2:11" ht="12.75" customHeight="1">
      <c r="B46" s="234" t="s">
        <v>187</v>
      </c>
      <c r="C46" s="235"/>
      <c r="D46" s="235"/>
      <c r="E46" s="235"/>
      <c r="F46" s="235"/>
      <c r="G46" s="236"/>
      <c r="H46" s="31">
        <v>0.02</v>
      </c>
      <c r="I46" s="46">
        <f>ROUND((($D$11)+D16)*H46,0)</f>
        <v>10814894</v>
      </c>
    </row>
    <row r="47" spans="2:11">
      <c r="B47" s="251" t="s">
        <v>188</v>
      </c>
      <c r="C47" s="252"/>
      <c r="D47" s="252"/>
      <c r="E47" s="252"/>
      <c r="F47" s="252"/>
      <c r="G47" s="253"/>
      <c r="H47" s="31">
        <v>5.0000000000000001E-3</v>
      </c>
      <c r="I47" s="46">
        <f>ROUND((($D$11)+D16)*H47,0)</f>
        <v>2703724</v>
      </c>
    </row>
    <row r="48" spans="2:11">
      <c r="B48" s="227" t="s">
        <v>124</v>
      </c>
      <c r="C48" s="227"/>
      <c r="D48" s="227"/>
      <c r="E48" s="227"/>
      <c r="F48" s="227"/>
      <c r="G48" s="227"/>
      <c r="H48" s="112"/>
      <c r="I48" s="48">
        <f>SUM(I44:I47)</f>
        <v>44286993</v>
      </c>
    </row>
    <row r="49" spans="2:9">
      <c r="B49" s="86"/>
      <c r="C49" s="87"/>
      <c r="D49" s="87"/>
      <c r="E49" s="87"/>
      <c r="F49" s="87"/>
      <c r="G49" s="87"/>
      <c r="H49" s="87"/>
      <c r="I49" s="88"/>
    </row>
    <row r="50" spans="2:9">
      <c r="B50" s="228" t="s">
        <v>189</v>
      </c>
      <c r="C50" s="228"/>
      <c r="D50" s="228"/>
      <c r="E50" s="228"/>
      <c r="F50" s="228"/>
      <c r="G50" s="228"/>
      <c r="H50" s="228"/>
      <c r="I50" s="228"/>
    </row>
    <row r="51" spans="2:9" ht="38.25">
      <c r="B51" s="188" t="s">
        <v>117</v>
      </c>
      <c r="C51" s="188"/>
      <c r="D51" s="38" t="s">
        <v>126</v>
      </c>
      <c r="E51" s="188" t="s">
        <v>127</v>
      </c>
      <c r="F51" s="188"/>
      <c r="G51" s="39" t="s">
        <v>128</v>
      </c>
      <c r="H51" s="39" t="s">
        <v>129</v>
      </c>
      <c r="I51" s="38" t="s">
        <v>119</v>
      </c>
    </row>
    <row r="52" spans="2:9">
      <c r="B52" s="229" t="s">
        <v>131</v>
      </c>
      <c r="C52" s="50" t="s">
        <v>190</v>
      </c>
      <c r="D52" s="46">
        <f>(($D$11+$D$16))</f>
        <v>540744712</v>
      </c>
      <c r="E52" s="182">
        <v>0.3</v>
      </c>
      <c r="F52" s="182"/>
      <c r="G52" s="108">
        <f>D14+6</f>
        <v>11.5</v>
      </c>
      <c r="H52" s="59">
        <v>2E-3</v>
      </c>
      <c r="I52" s="46">
        <f>ROUND((((((D52*E52)*H52)/12)*G52)+1250)*1.19,0)</f>
        <v>371492</v>
      </c>
    </row>
    <row r="53" spans="2:9" ht="25.5">
      <c r="B53" s="230"/>
      <c r="C53" s="50" t="s">
        <v>191</v>
      </c>
      <c r="D53" s="46">
        <f t="shared" ref="D53:D54" si="0">(($D$11+$D$16))</f>
        <v>540744712</v>
      </c>
      <c r="E53" s="182">
        <v>0.1</v>
      </c>
      <c r="F53" s="182"/>
      <c r="G53" s="108">
        <f>36+D14</f>
        <v>41.5</v>
      </c>
      <c r="H53" s="59">
        <v>2E-3</v>
      </c>
      <c r="I53" s="46">
        <f>ROUND((((((D53*E53)*H53)/12)*G53)+1250)*1.19,0)</f>
        <v>446565</v>
      </c>
    </row>
    <row r="54" spans="2:9" ht="25.5">
      <c r="B54" s="230"/>
      <c r="C54" s="89" t="s">
        <v>192</v>
      </c>
      <c r="D54" s="46">
        <f t="shared" si="0"/>
        <v>540744712</v>
      </c>
      <c r="E54" s="182">
        <v>0.3</v>
      </c>
      <c r="F54" s="182"/>
      <c r="G54" s="108">
        <v>60</v>
      </c>
      <c r="H54" s="59">
        <v>2E-3</v>
      </c>
      <c r="I54" s="46">
        <f>ROUND((((((D54*E54)*H54)/12)*G54)+1250)*1.19,0)</f>
        <v>1931946</v>
      </c>
    </row>
    <row r="55" spans="2:9" ht="77.25" customHeight="1">
      <c r="B55" s="90" t="s">
        <v>135</v>
      </c>
      <c r="C55" s="50" t="s">
        <v>193</v>
      </c>
      <c r="D55" s="46">
        <v>232000000</v>
      </c>
      <c r="E55" s="182" t="s">
        <v>136</v>
      </c>
      <c r="F55" s="182"/>
      <c r="G55" s="108">
        <f>D14</f>
        <v>5.5</v>
      </c>
      <c r="H55" s="59">
        <v>3.0000000000000001E-3</v>
      </c>
      <c r="I55" s="46">
        <f>ROUND((((((D55)*H55)/12)*G55)+1250)*1.19,0)</f>
        <v>381098</v>
      </c>
    </row>
    <row r="56" spans="2:9">
      <c r="B56" s="223"/>
      <c r="C56" s="224"/>
      <c r="D56" s="224"/>
      <c r="E56" s="224"/>
      <c r="F56" s="224"/>
      <c r="G56" s="224"/>
      <c r="H56" s="224"/>
      <c r="I56" s="225"/>
    </row>
    <row r="57" spans="2:9">
      <c r="B57" s="226" t="s">
        <v>137</v>
      </c>
      <c r="C57" s="226"/>
      <c r="D57" s="226"/>
      <c r="E57" s="226"/>
      <c r="F57" s="226"/>
      <c r="G57" s="226"/>
      <c r="H57" s="111"/>
      <c r="I57" s="48">
        <f>ROUND(SUM(I52:I55),0)</f>
        <v>3131101</v>
      </c>
    </row>
    <row r="58" spans="2:9">
      <c r="B58" s="248"/>
      <c r="C58" s="249"/>
      <c r="D58" s="249"/>
      <c r="E58" s="249"/>
      <c r="F58" s="249"/>
      <c r="G58" s="249"/>
      <c r="H58" s="249"/>
      <c r="I58" s="250"/>
    </row>
    <row r="59" spans="2:9">
      <c r="B59" s="239" t="s">
        <v>138</v>
      </c>
      <c r="C59" s="240"/>
      <c r="D59" s="240"/>
      <c r="E59" s="240"/>
      <c r="F59" s="240"/>
      <c r="G59" s="240"/>
      <c r="H59" s="94"/>
      <c r="I59" s="48">
        <f>ROUND(I48+I57,0)</f>
        <v>47418094</v>
      </c>
    </row>
    <row r="60" spans="2:9">
      <c r="B60" s="239" t="s">
        <v>139</v>
      </c>
      <c r="C60" s="240"/>
      <c r="D60" s="240"/>
      <c r="E60" s="240"/>
      <c r="F60" s="240"/>
      <c r="G60" s="240"/>
      <c r="H60" s="94"/>
      <c r="I60" s="91">
        <f>+I59/D11</f>
        <v>8.8249154118236472E-2</v>
      </c>
    </row>
    <row r="61" spans="2:9">
      <c r="B61" s="248"/>
      <c r="C61" s="249"/>
      <c r="D61" s="249"/>
      <c r="E61" s="249"/>
      <c r="F61" s="249"/>
      <c r="G61" s="249"/>
      <c r="H61" s="249"/>
      <c r="I61" s="250"/>
    </row>
    <row r="62" spans="2:9">
      <c r="B62" s="239" t="s">
        <v>194</v>
      </c>
      <c r="C62" s="240"/>
      <c r="D62" s="240"/>
      <c r="E62" s="240"/>
      <c r="F62" s="240"/>
      <c r="G62" s="240"/>
      <c r="H62" s="94"/>
      <c r="I62" s="92">
        <f>+I39+I60</f>
        <v>0.24947132360699853</v>
      </c>
    </row>
    <row r="63" spans="2:9">
      <c r="B63" s="93"/>
      <c r="C63" s="94"/>
      <c r="D63" s="94"/>
      <c r="E63" s="94"/>
      <c r="F63" s="94"/>
      <c r="G63" s="94"/>
      <c r="H63" s="94"/>
      <c r="I63" s="95"/>
    </row>
    <row r="64" spans="2:9">
      <c r="B64" s="93" t="s">
        <v>195</v>
      </c>
      <c r="C64" s="94"/>
      <c r="D64" s="94"/>
      <c r="E64" s="94"/>
      <c r="F64" s="94"/>
      <c r="G64" s="94"/>
      <c r="H64" s="94"/>
      <c r="I64" s="96">
        <f>I62</f>
        <v>0.24947132360699853</v>
      </c>
    </row>
    <row r="65" spans="2:9">
      <c r="B65" s="239" t="s">
        <v>141</v>
      </c>
      <c r="C65" s="240"/>
      <c r="D65" s="240"/>
      <c r="E65" s="240"/>
      <c r="F65" s="240"/>
      <c r="G65" s="240"/>
      <c r="H65" s="94"/>
      <c r="I65" s="97">
        <v>0.01</v>
      </c>
    </row>
    <row r="66" spans="2:9">
      <c r="B66" s="239" t="s">
        <v>142</v>
      </c>
      <c r="C66" s="240"/>
      <c r="D66" s="240"/>
      <c r="E66" s="240"/>
      <c r="F66" s="240"/>
      <c r="G66" s="240"/>
      <c r="H66" s="94"/>
      <c r="I66" s="97">
        <v>0.05</v>
      </c>
    </row>
    <row r="67" spans="2:9">
      <c r="B67" s="54" t="s">
        <v>143</v>
      </c>
      <c r="C67" s="55"/>
      <c r="D67" s="55"/>
      <c r="E67" s="55"/>
      <c r="F67" s="55"/>
      <c r="G67" s="55"/>
      <c r="H67" s="55"/>
      <c r="I67" s="98">
        <f>+I69</f>
        <v>0.3095</v>
      </c>
    </row>
    <row r="69" spans="2:9">
      <c r="I69" s="120">
        <f>ROUND(I65+I64+I66,4)</f>
        <v>0.3095</v>
      </c>
    </row>
  </sheetData>
  <mergeCells count="82">
    <mergeCell ref="B2:I2"/>
    <mergeCell ref="B3:I3"/>
    <mergeCell ref="B4:I4"/>
    <mergeCell ref="B5:I5"/>
    <mergeCell ref="D6:E6"/>
    <mergeCell ref="G6:I6"/>
    <mergeCell ref="B7:C7"/>
    <mergeCell ref="D7:E7"/>
    <mergeCell ref="B8:C8"/>
    <mergeCell ref="D8:E8"/>
    <mergeCell ref="B9:C9"/>
    <mergeCell ref="D9:E9"/>
    <mergeCell ref="C20:D21"/>
    <mergeCell ref="B16:C16"/>
    <mergeCell ref="D16:E16"/>
    <mergeCell ref="B18:I18"/>
    <mergeCell ref="B19:I19"/>
    <mergeCell ref="G9:I16"/>
    <mergeCell ref="B11:C11"/>
    <mergeCell ref="D11:E11"/>
    <mergeCell ref="E20:F21"/>
    <mergeCell ref="B12:C12"/>
    <mergeCell ref="D12:E12"/>
    <mergeCell ref="B13:C13"/>
    <mergeCell ref="D13:E13"/>
    <mergeCell ref="B14:C14"/>
    <mergeCell ref="B15:E15"/>
    <mergeCell ref="B22:I22"/>
    <mergeCell ref="C27:D27"/>
    <mergeCell ref="E27:F27"/>
    <mergeCell ref="E28:F28"/>
    <mergeCell ref="E34:F34"/>
    <mergeCell ref="B31:D31"/>
    <mergeCell ref="B34:D34"/>
    <mergeCell ref="C23:D23"/>
    <mergeCell ref="B29:G29"/>
    <mergeCell ref="B30:I30"/>
    <mergeCell ref="E31:F31"/>
    <mergeCell ref="C24:D24"/>
    <mergeCell ref="E35:F35"/>
    <mergeCell ref="B35:D35"/>
    <mergeCell ref="B65:G65"/>
    <mergeCell ref="B66:G66"/>
    <mergeCell ref="B58:I58"/>
    <mergeCell ref="B59:G59"/>
    <mergeCell ref="B60:G60"/>
    <mergeCell ref="B61:I61"/>
    <mergeCell ref="B62:G62"/>
    <mergeCell ref="B45:G45"/>
    <mergeCell ref="B46:G46"/>
    <mergeCell ref="B47:G47"/>
    <mergeCell ref="B44:G44"/>
    <mergeCell ref="B42:I42"/>
    <mergeCell ref="B36:G36"/>
    <mergeCell ref="B37:I37"/>
    <mergeCell ref="B38:G38"/>
    <mergeCell ref="B39:G39"/>
    <mergeCell ref="E40:F40"/>
    <mergeCell ref="B41:I41"/>
    <mergeCell ref="B43:G43"/>
    <mergeCell ref="B56:I56"/>
    <mergeCell ref="B57:G57"/>
    <mergeCell ref="B48:G48"/>
    <mergeCell ref="B50:I50"/>
    <mergeCell ref="B51:C51"/>
    <mergeCell ref="E51:F51"/>
    <mergeCell ref="B52:B54"/>
    <mergeCell ref="E52:F52"/>
    <mergeCell ref="E53:F53"/>
    <mergeCell ref="E54:F54"/>
    <mergeCell ref="E55:F55"/>
    <mergeCell ref="E23:F23"/>
    <mergeCell ref="C25:D25"/>
    <mergeCell ref="C26:D26"/>
    <mergeCell ref="C28:D28"/>
    <mergeCell ref="E33:F33"/>
    <mergeCell ref="E24:F24"/>
    <mergeCell ref="E25:F25"/>
    <mergeCell ref="E26:F26"/>
    <mergeCell ref="B33:D33"/>
    <mergeCell ref="B32:D32"/>
    <mergeCell ref="E32:F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ASUS</dc:creator>
  <cp:keywords/>
  <dc:description/>
  <cp:lastModifiedBy>Julio Andres Aragon Ruiz</cp:lastModifiedBy>
  <cp:revision/>
  <dcterms:created xsi:type="dcterms:W3CDTF">2021-06-30T16:01:25Z</dcterms:created>
  <dcterms:modified xsi:type="dcterms:W3CDTF">2023-08-15T17:39:41Z</dcterms:modified>
  <cp:category/>
  <cp:contentStatus/>
</cp:coreProperties>
</file>