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uarios\USUARIOX\Desktop\"/>
    </mc:Choice>
  </mc:AlternateContent>
  <bookViews>
    <workbookView xWindow="0" yWindow="0" windowWidth="28800" windowHeight="12330" firstSheet="4" activeTab="4"/>
  </bookViews>
  <sheets>
    <sheet name="PRESUPUESTO" sheetId="1" r:id="rId1"/>
    <sheet name="MEM CANTIDADES" sheetId="12" r:id="rId2"/>
    <sheet name="MEMORIAS DE CALCULOS " sheetId="5" state="hidden" r:id="rId3"/>
    <sheet name="MEMORIAS ELE-VARI-AGUA-MOB" sheetId="9" state="hidden" r:id="rId4"/>
    <sheet name="APUS 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___________CON123">'[1]Base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'[1]Base Datos'!$B$9</definedName>
    <definedName name="_____________MAT1111">'[1]Base Datos'!$B$43</definedName>
    <definedName name="_____________MAT170">'[2]Base Datos'!$B$212</definedName>
    <definedName name="_____________MAT171">'[2]Base Datos'!$B$213</definedName>
    <definedName name="_____________MAT832">'[3]Base Datos'!$B$125</definedName>
    <definedName name="_____________MAY88">'[4]Base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[5]INV!$A$25:$D$28</definedName>
    <definedName name="_______AFC3">[5]INV!$F$25:$I$28</definedName>
    <definedName name="_______AFC5">[5]INV!$K$25:$N$28</definedName>
    <definedName name="_______APU221">#REF!</definedName>
    <definedName name="_______BGC1">[5]INV!$A$5:$D$8</definedName>
    <definedName name="_______BGC3">[5]INV!$F$5:$I$8</definedName>
    <definedName name="_______BGC5">[5]INV!$K$5:$N$8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[5]INV!$A$19:$D$22</definedName>
    <definedName name="_______CAC3">[5]INV!$F$19:$I$22</definedName>
    <definedName name="_______CAC5">[5]INV!$K$19:$N$22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[5]INV!$A$12:$D$15</definedName>
    <definedName name="_______SBC3">[5]INV!$F$12:$I$15</definedName>
    <definedName name="_______SBC5">[5]INV!$K$12:$N$15</definedName>
    <definedName name="______A30000">#REF!</definedName>
    <definedName name="______AFC1">[5]INV!$A$25:$D$28</definedName>
    <definedName name="______AFC3">[5]INV!$F$25:$I$28</definedName>
    <definedName name="______AFC5">[5]INV!$K$25:$N$28</definedName>
    <definedName name="______APU221">#REF!</definedName>
    <definedName name="______BGC1">[5]INV!$A$5:$D$8</definedName>
    <definedName name="______BGC3">[5]INV!$F$5:$I$8</definedName>
    <definedName name="______BGC5">[5]INV!$K$5:$N$8</definedName>
    <definedName name="______CAC1">[5]INV!$A$19:$D$22</definedName>
    <definedName name="______CAC3">[5]INV!$F$19:$I$22</definedName>
    <definedName name="______CAC5">[5]INV!$K$19:$N$22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[5]INV!$A$12:$D$15</definedName>
    <definedName name="______SBC3">[5]INV!$F$12:$I$15</definedName>
    <definedName name="______SBC5">[5]INV!$K$12:$N$15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[5]INV!$A$25:$D$28</definedName>
    <definedName name="_____AFC3">[5]INV!$F$25:$I$28</definedName>
    <definedName name="_____AFC5">[5]INV!$K$25:$N$28</definedName>
    <definedName name="_____APU221">#REF!</definedName>
    <definedName name="_____BGC1">[5]INV!$A$5:$D$8</definedName>
    <definedName name="_____BGC3">[5]INV!$F$5:$I$8</definedName>
    <definedName name="_____BGC5">[5]INV!$K$5:$N$8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[5]INV!$A$19:$D$22</definedName>
    <definedName name="_____CAC3">[5]INV!$F$19:$I$22</definedName>
    <definedName name="_____CAC5">[5]INV!$K$19:$N$22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[5]INV!$A$12:$D$15</definedName>
    <definedName name="_____SBC3">[5]INV!$F$12:$I$15</definedName>
    <definedName name="_____SBC5">[5]INV!$K$12:$N$15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[5]INV!$A$25:$D$28</definedName>
    <definedName name="____AFC3">[5]INV!$F$25:$I$28</definedName>
    <definedName name="____AFC5">[5]INV!$K$25:$N$28</definedName>
    <definedName name="____APU221">#REF!</definedName>
    <definedName name="____BGC1">[5]INV!$A$5:$D$8</definedName>
    <definedName name="____BGC3">[5]INV!$F$5:$I$8</definedName>
    <definedName name="____BGC5">[5]INV!$K$5:$N$8</definedName>
    <definedName name="____CAC1">[5]INV!$A$19:$D$22</definedName>
    <definedName name="____CAC3">[5]INV!$F$19:$I$22</definedName>
    <definedName name="____CAC5">[5]INV!$K$19:$N$22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[5]INV!$A$12:$D$15</definedName>
    <definedName name="____SBC3">[5]INV!$F$12:$I$15</definedName>
    <definedName name="____SBC5">[5]INV!$K$12:$N$15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[5]INV!$A$25:$D$28</definedName>
    <definedName name="___AFC3">[5]INV!$F$25:$I$28</definedName>
    <definedName name="___AFC5">[5]INV!$K$25:$N$28</definedName>
    <definedName name="___APU221">#REF!</definedName>
    <definedName name="___B104067">#REF!</definedName>
    <definedName name="___B93008">#REF!</definedName>
    <definedName name="___BGC1">[5]INV!$A$5:$D$8</definedName>
    <definedName name="___BGC3">[5]INV!$F$5:$I$8</definedName>
    <definedName name="___BGC5">[5]INV!$K$5:$N$8</definedName>
    <definedName name="___Bid1">#REF!</definedName>
    <definedName name="___Bid2">#REF!</definedName>
    <definedName name="___Bid3">#REF!</definedName>
    <definedName name="___Bid4">#REF!</definedName>
    <definedName name="___CAC1">[5]INV!$A$19:$D$22</definedName>
    <definedName name="___CAC3">[5]INV!$F$19:$I$22</definedName>
    <definedName name="___CAC5">[5]INV!$K$19:$N$22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[5]INV!$A$12:$D$15</definedName>
    <definedName name="___SBC3">[5]INV!$F$12:$I$15</definedName>
    <definedName name="___SBC5">[5]INV!$K$12:$N$15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[5]INV!$A$25:$D$28</definedName>
    <definedName name="__AFC3">[5]INV!$F$25:$I$28</definedName>
    <definedName name="__AFC5">[5]INV!$K$25:$N$28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[5]INV!$A$5:$D$8</definedName>
    <definedName name="__BGC3">[5]INV!$F$5:$I$8</definedName>
    <definedName name="__BGC5">[5]INV!$K$5:$N$8</definedName>
    <definedName name="__Bid1">#REF!</definedName>
    <definedName name="__Bid2">#REF!</definedName>
    <definedName name="__Bid3">#REF!</definedName>
    <definedName name="__Bid4">#REF!</definedName>
    <definedName name="__CAC1">[5]INV!$A$19:$D$22</definedName>
    <definedName name="__CAC3">[5]INV!$F$19:$I$22</definedName>
    <definedName name="__CAC5">[5]INV!$K$19:$N$22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[5]INV!$A$12:$D$15</definedName>
    <definedName name="__SBC3">[5]INV!$F$12:$I$15</definedName>
    <definedName name="__SBC5">[5]INV!$K$12:$N$15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[5]INV!$A$25:$D$28</definedName>
    <definedName name="_AFC3">[5]INV!$F$25:$I$28</definedName>
    <definedName name="_AFC5">[5]INV!$K$25:$N$28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[5]INV!$A$5:$D$8</definedName>
    <definedName name="_BGC3">[5]INV!$F$5:$I$8</definedName>
    <definedName name="_BGC5">[5]INV!$K$5:$N$8</definedName>
    <definedName name="_Bid1">#REF!</definedName>
    <definedName name="_Bid2">#REF!</definedName>
    <definedName name="_Bid3">#REF!</definedName>
    <definedName name="_Bid4">#REF!</definedName>
    <definedName name="_CAC1">[5]INV!$A$19:$D$22</definedName>
    <definedName name="_CAC3">[5]INV!$F$19:$I$22</definedName>
    <definedName name="_CAC5">[5]INV!$K$19:$N$22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ST90">#REF!</definedName>
    <definedName name="_ETR13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[5]INV!$A$12:$D$15</definedName>
    <definedName name="_SBC3">[5]INV!$F$12:$I$15</definedName>
    <definedName name="_SBC5">[5]INV!$K$12:$N$15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'[1]Base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[5]AASHTO!$A$14:$F$17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[5]AASHTO!$A$2:$F$5</definedName>
    <definedName name="absc_">#REF!</definedName>
    <definedName name="absc_1">#REF!</definedName>
    <definedName name="absc1">[6]!absc</definedName>
    <definedName name="AC">#REF!</definedName>
    <definedName name="ACALZADA">#REF!</definedName>
    <definedName name="acc">#REF!</definedName>
    <definedName name="Accesorios_de_anclaje">'[7]LISTA MATERIALES'!$D$1672</definedName>
    <definedName name="AccessDatabase" hidden="1">"A:\SAIN.mdb"</definedName>
    <definedName name="ACER">#REF!</definedName>
    <definedName name="ACERO">'[7]LISTA MATERIALES'!$F$389</definedName>
    <definedName name="Acido_oxálico">'[7]LISTA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[8]Informacion!$B$15</definedName>
    <definedName name="Adminitración">#REF!</definedName>
    <definedName name="adoc1">[6]!absc</definedName>
    <definedName name="adoq">[9]!absc</definedName>
    <definedName name="ADOQUIN_PEATONAL_6">'[7]LISTA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'[7]LISTA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'[7]LISTA MATERIALES'!$D$410</definedName>
    <definedName name="alc">[10]!absc</definedName>
    <definedName name="ale">#REF!</definedName>
    <definedName name="ALEJA">#REF!</definedName>
    <definedName name="aleja2">#REF!</definedName>
    <definedName name="ALFALISTO_BLANCO__X_25_KG">'[7]LISTA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[11]BASES!$B$33</definedName>
    <definedName name="ANTICIPO">[12]BASES!$B$33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[13]MATERIALES!$A$10:$A$12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4">'APUS '!$A$1:$H$234</definedName>
    <definedName name="_xlnm.Print_Area" localSheetId="1">'MEM CANTIDADES'!$A$1:$AP$58</definedName>
    <definedName name="_xlnm.Print_Area" localSheetId="0">PRESUPUESTO!$A$1:$G$45</definedName>
    <definedName name="AREAPRIVADA">#REF!</definedName>
    <definedName name="ARELAL">'[14]APU MEJORAMIENTO VIA'!#REF!</definedName>
    <definedName name="ARENA">'[7]LISTA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[5]AASHTO!$A$8:$F$11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'[7]MANO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'[7]LISTA MATERIALES'!$D$1401</definedName>
    <definedName name="baldosa_tipo_20_5_20_5_trafico_5_comercial">'[7]LISTA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'[3]Base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'[7]LISTA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[11]CDItem!$G$8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[15]Insum!$A$3:$H$63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 localSheetId="1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'[16]Base Datos'!$B$217</definedName>
    <definedName name="CONC2000">#REF!</definedName>
    <definedName name="CONC3000">#REF!</definedName>
    <definedName name="Concepto">#REF!</definedName>
    <definedName name="CONCRE">'[16]Base Datos'!$B$46</definedName>
    <definedName name="concreto">#REF!</definedName>
    <definedName name="Concreto_2200">'[7]CONCRETO y MORTEROS'!$G$84</definedName>
    <definedName name="concreto_3000">'[7]CONCRETO y MORTEROS'!$G$40</definedName>
    <definedName name="CONCRETO_F.C_4">#REF!</definedName>
    <definedName name="concreto_FC_2.2">#REF!</definedName>
    <definedName name="CONCRETO123">'[1]Base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 localSheetId="1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'[4]Base Datos'!$B:$F</definedName>
    <definedName name="DIRECTO11">'[14]APU MEJORAMIENTO VIA'!#REF!</definedName>
    <definedName name="DIRECTO12">'[14]APU MEJORAMIENTO VIA'!#REF!</definedName>
    <definedName name="DIRECTO13">'[14]APU MEJORAMIENTO VIA'!#REF!</definedName>
    <definedName name="DIRECTO14">'[14]APU MEJORAMIENTO VIA'!#REF!</definedName>
    <definedName name="DIRECTO15">'[14]APU MEJORAMIENTO VIA'!#REF!</definedName>
    <definedName name="DIRECTO16">'[14]APU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'[7]MANO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1">#REF!</definedName>
    <definedName name="Excel_BuiltIn_Print_Titles_3">#REF!</definedName>
    <definedName name="Excel_BuiltIn_Print_Titles_3_51">#REF!</definedName>
    <definedName name="Excel_BuiltIn_Print_Titles_4" localSheetId="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[17]MATERIALES!$A$13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[18]DATOS!$CV$4:$CV$53</definedName>
    <definedName name="HORASEXTDIUFES">[18]DATOS!$CY$4:$CY$53</definedName>
    <definedName name="HORASEXTNOC">[18]DATOS!$CW$4:$CW$53</definedName>
    <definedName name="HORASEXTNOCFES">[18]DATOS!$CZ$4:$CZ$53</definedName>
    <definedName name="HORASLLUVIA">#REF!</definedName>
    <definedName name="HORASNORFES">[18]DATOS!$CX$4:$CX$53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[11]BASES!$E$26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[19]Hoja1!$A$2:$B$65536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'[7]LISTA MATERIALES'!$D$1661</definedName>
    <definedName name="ladrillo_tolete_común_ref._7x11x22">'[7]LISTA MATERIALES'!$D$1659</definedName>
    <definedName name="Lámina_Cal_26">'[7]LISTA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'[4]Base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'[7]LISTA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[20]!absc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'[7]LISTA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'[7]LISTA MATERIALES'!$D$1653</definedName>
    <definedName name="MADERA_DE_CATIVO">'[7]LISTA MATERIALES'!$D$1652</definedName>
    <definedName name="Maestro">'[7]MANO DE OBRA '!$G$10</definedName>
    <definedName name="mafdsf">#REF!</definedName>
    <definedName name="mafdsf_1">#REF!</definedName>
    <definedName name="MAL">#REF!</definedName>
    <definedName name="MALLAS_ELECTROSOLDADAS">'[7]LISTA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'[7]LISTA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[15]Insum!$A$68:$H$98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'[7]LISTA MATERIALES'!$D$10</definedName>
    <definedName name="Materiales">[17]MATERIALES!$A$14:$A$449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[21]EQUIPO!$C$21</definedName>
    <definedName name="Mezcladora">'[7]MANO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[17]MATERIALES!$A$10:$A$12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'[7]CONCRETO y MORTEROS'!$G$172</definedName>
    <definedName name="Mortero_1_5">'[7]CONCRETO y MORTEROS'!$G$214</definedName>
    <definedName name="MORTERO_1_6">'[7]CONCRETO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[18]DATOS!$A$4:$A$53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'[7]MANO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[22]otros!$A$6:$A$1235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[21]EQUIPO!$C$24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'[23]PESOS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'[7]LISTA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[11]BASES!$E$27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'[7]LISTA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[12]BASES!$E$26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'[24]Materiales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[11]BASES!$B$31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[25]!absc</definedName>
    <definedName name="prueba1">[25]!absc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'[7]LISTA MATERIALES'!$D$432</definedName>
    <definedName name="PUNTILLA_C_C_2_PAQ_500_GRS_____Lib">'[7]LISTA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[26]ResumenMaterial!$A$12:$AB$169</definedName>
    <definedName name="RESUMENMODELODEMANDA">#REF!</definedName>
    <definedName name="RET">#REF!</definedName>
    <definedName name="reten">#REF!</definedName>
    <definedName name="Retenc">[11]BASES!$E$31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[11]BASES!$E$41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'[4]Base Datos'!$B$130</definedName>
    <definedName name="SOLADO">#REF!</definedName>
    <definedName name="Soldador">'[7]MANO DE OBRA '!$C$8</definedName>
    <definedName name="Soldadura_electrodo_1_8_E60_11">'[7]LISTA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[27]Hoja1!$F$60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[28]!absc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'[7]LISTA MATERIALES'!$D$26</definedName>
    <definedName name="Teja_Termoacustica_techmet_50_mm_cal_28x28_mm">'[7]LISTA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[12]BASES!$E$27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'[7]MANO DE OBRA '!$G$14</definedName>
    <definedName name="Tornillos_grado_5">'[7]LISTA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[29]desmonte!$E$48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'[7]LISTA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[30]Unitarios!$A$3:$D$13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 localSheetId="1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 localSheetId="1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'[7]LISTA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'[7]MANO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'[7]LISTA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 localSheetId="1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[31]!absc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37" i="12" l="1"/>
  <c r="AO37" i="12" s="1"/>
  <c r="AL19" i="12"/>
  <c r="AO19" i="12" s="1"/>
  <c r="AI134" i="12"/>
  <c r="AO134" i="12" s="1"/>
  <c r="AO145" i="12" s="1"/>
  <c r="E25" i="1" s="1"/>
  <c r="D143" i="3"/>
  <c r="G143" i="3" s="1"/>
  <c r="H145" i="3" s="1"/>
  <c r="E128" i="3" s="1"/>
  <c r="G128" i="3" s="1"/>
  <c r="H130" i="3" s="1"/>
  <c r="C123" i="3"/>
  <c r="C122" i="3"/>
  <c r="H126" i="3"/>
  <c r="D125" i="3"/>
  <c r="C125" i="3"/>
  <c r="H140" i="3"/>
  <c r="G133" i="3"/>
  <c r="H135" i="3" s="1"/>
  <c r="AO95" i="12"/>
  <c r="AO104" i="12" s="1"/>
  <c r="E19" i="1" s="1"/>
  <c r="AO91" i="12"/>
  <c r="L93" i="12"/>
  <c r="J93" i="12"/>
  <c r="AM104" i="12" s="1"/>
  <c r="J92" i="12"/>
  <c r="I89" i="12"/>
  <c r="D201" i="3"/>
  <c r="G201" i="3" s="1"/>
  <c r="H203" i="3" s="1"/>
  <c r="E186" i="3" s="1"/>
  <c r="G186" i="3" s="1"/>
  <c r="H188" i="3" s="1"/>
  <c r="H184" i="3"/>
  <c r="D183" i="3"/>
  <c r="C183" i="3"/>
  <c r="C180" i="3"/>
  <c r="H198" i="3"/>
  <c r="G191" i="3"/>
  <c r="H193" i="3" s="1"/>
  <c r="J131" i="12"/>
  <c r="AO130" i="12"/>
  <c r="L132" i="12"/>
  <c r="J132" i="12"/>
  <c r="AM145" i="12" s="1"/>
  <c r="I128" i="12"/>
  <c r="H147" i="3" l="1"/>
  <c r="F19" i="1" s="1"/>
  <c r="G19" i="1" s="1"/>
  <c r="H205" i="3"/>
  <c r="F25" i="1" s="1"/>
  <c r="G25" i="1" s="1"/>
  <c r="G215" i="3" l="1"/>
  <c r="D229" i="3"/>
  <c r="D115" i="3"/>
  <c r="G115" i="3" s="1"/>
  <c r="H117" i="3" s="1"/>
  <c r="E98" i="3" s="1"/>
  <c r="G98" i="3" s="1"/>
  <c r="G99" i="3"/>
  <c r="D86" i="3"/>
  <c r="G86" i="3" s="1"/>
  <c r="D85" i="3"/>
  <c r="G80" i="3"/>
  <c r="F55" i="3"/>
  <c r="F54" i="3"/>
  <c r="H112" i="3"/>
  <c r="D95" i="3"/>
  <c r="AL118" i="12"/>
  <c r="AO118" i="12" s="1"/>
  <c r="AI117" i="12"/>
  <c r="AI116" i="12"/>
  <c r="AI115" i="12"/>
  <c r="AI114" i="12"/>
  <c r="AL74" i="12"/>
  <c r="AO74" i="12" s="1"/>
  <c r="AJ55" i="12"/>
  <c r="AI55" i="12"/>
  <c r="AJ36" i="12"/>
  <c r="AI36" i="12"/>
  <c r="AJ18" i="12"/>
  <c r="AI18" i="12"/>
  <c r="AO70" i="12"/>
  <c r="L72" i="12"/>
  <c r="J72" i="12"/>
  <c r="AM85" i="12" s="1"/>
  <c r="J71" i="12"/>
  <c r="I68" i="12"/>
  <c r="C95" i="3"/>
  <c r="C93" i="3"/>
  <c r="G104" i="3"/>
  <c r="G103" i="3"/>
  <c r="AO51" i="12"/>
  <c r="L53" i="12"/>
  <c r="J53" i="12"/>
  <c r="J52" i="12"/>
  <c r="D65" i="3"/>
  <c r="C65" i="3"/>
  <c r="H100" i="3" l="1"/>
  <c r="H107" i="3"/>
  <c r="H119" i="3" s="1"/>
  <c r="F18" i="1" s="1"/>
  <c r="AO85" i="12"/>
  <c r="E18" i="1" s="1"/>
  <c r="AL115" i="12" l="1"/>
  <c r="AL116" i="12"/>
  <c r="AO116" i="12" s="1"/>
  <c r="AL117" i="12"/>
  <c r="AO117" i="12" s="1"/>
  <c r="AL55" i="12"/>
  <c r="AO55" i="12" s="1"/>
  <c r="AL56" i="12"/>
  <c r="AO56" i="12" s="1"/>
  <c r="AL36" i="12"/>
  <c r="AO36" i="12" s="1"/>
  <c r="AO45" i="12" s="1"/>
  <c r="AL18" i="12"/>
  <c r="AO18" i="12" s="1"/>
  <c r="AO27" i="12" s="1"/>
  <c r="AO64" i="12" l="1"/>
  <c r="H82" i="3"/>
  <c r="C63" i="3" l="1"/>
  <c r="G55" i="3"/>
  <c r="G54" i="3"/>
  <c r="G50" i="3"/>
  <c r="H51" i="3" s="1"/>
  <c r="G45" i="3"/>
  <c r="H56" i="3" l="1"/>
  <c r="D25" i="3"/>
  <c r="D24" i="3"/>
  <c r="AO115" i="12"/>
  <c r="AL114" i="12"/>
  <c r="AO32" i="12"/>
  <c r="L34" i="12"/>
  <c r="J34" i="12"/>
  <c r="J33" i="12"/>
  <c r="H37" i="3"/>
  <c r="D36" i="3"/>
  <c r="C36" i="3"/>
  <c r="C34" i="3"/>
  <c r="H226" i="3" l="1"/>
  <c r="C152" i="3"/>
  <c r="C181" i="3" s="1"/>
  <c r="D174" i="3"/>
  <c r="G162" i="3"/>
  <c r="G163" i="3"/>
  <c r="G164" i="3"/>
  <c r="G158" i="3"/>
  <c r="H212" i="3" l="1"/>
  <c r="D211" i="3"/>
  <c r="C211" i="3"/>
  <c r="H155" i="3"/>
  <c r="D154" i="3"/>
  <c r="C154" i="3"/>
  <c r="H7" i="3" l="1"/>
  <c r="G25" i="3"/>
  <c r="F19" i="3"/>
  <c r="G19" i="3" s="1"/>
  <c r="AO152" i="12"/>
  <c r="AO156" i="12"/>
  <c r="L154" i="12"/>
  <c r="J153" i="12"/>
  <c r="J154" i="12"/>
  <c r="AO114" i="12" l="1"/>
  <c r="AO110" i="12"/>
  <c r="J111" i="12"/>
  <c r="L112" i="12"/>
  <c r="J112" i="12"/>
  <c r="AO14" i="12"/>
  <c r="B5" i="3" l="1"/>
  <c r="C4" i="3"/>
  <c r="AM64" i="12" l="1"/>
  <c r="C151" i="3" l="1"/>
  <c r="C62" i="3"/>
  <c r="C33" i="3"/>
  <c r="C92" i="3" s="1"/>
  <c r="AM45" i="12" l="1"/>
  <c r="I30" i="12"/>
  <c r="E14" i="1" l="1"/>
  <c r="G219" i="3" l="1"/>
  <c r="G229" i="3"/>
  <c r="H221" i="3" l="1"/>
  <c r="H231" i="3"/>
  <c r="E214" i="3" s="1"/>
  <c r="G214" i="3" s="1"/>
  <c r="H216" i="3" s="1"/>
  <c r="H233" i="3" l="1"/>
  <c r="F26" i="1" s="1"/>
  <c r="C208" i="3" l="1"/>
  <c r="E39" i="3"/>
  <c r="G39" i="3" s="1"/>
  <c r="H41" i="3" s="1"/>
  <c r="G44" i="3"/>
  <c r="H47" i="3" s="1"/>
  <c r="H58" i="3" l="1"/>
  <c r="F14" i="1" s="1"/>
  <c r="G14" i="1" s="1"/>
  <c r="L16" i="12" l="1"/>
  <c r="J16" i="12"/>
  <c r="AM27" i="12" s="1"/>
  <c r="J15" i="12"/>
  <c r="I12" i="12"/>
  <c r="D6" i="3"/>
  <c r="C6" i="3"/>
  <c r="G24" i="3"/>
  <c r="H26" i="3" s="1"/>
  <c r="E9" i="3" s="1"/>
  <c r="G9" i="3" s="1"/>
  <c r="H21" i="3"/>
  <c r="H16" i="3"/>
  <c r="E11" i="1" l="1"/>
  <c r="H10" i="3"/>
  <c r="H28" i="3" l="1"/>
  <c r="F11" i="1" s="1"/>
  <c r="G11" i="1" s="1"/>
  <c r="I49" i="12" l="1"/>
  <c r="E15" i="1" l="1"/>
  <c r="G12" i="1"/>
  <c r="AR20" i="5" l="1"/>
  <c r="N13" i="5" l="1"/>
  <c r="J13" i="5"/>
  <c r="AM167" i="12"/>
  <c r="AO167" i="12"/>
  <c r="E26" i="1" s="1"/>
  <c r="I150" i="12"/>
  <c r="AM125" i="12"/>
  <c r="AO125" i="12"/>
  <c r="I108" i="12"/>
  <c r="E22" i="1" l="1"/>
  <c r="D27" i="5"/>
  <c r="AJ27" i="5" s="1"/>
  <c r="D26" i="5"/>
  <c r="BE26" i="5" s="1"/>
  <c r="BE60" i="5" s="1"/>
  <c r="D24" i="5"/>
  <c r="D25" i="5"/>
  <c r="AK23" i="5"/>
  <c r="AS32" i="5"/>
  <c r="AT32" i="5" s="1"/>
  <c r="AS33" i="5"/>
  <c r="AT33" i="5" s="1"/>
  <c r="AS34" i="5"/>
  <c r="AT34" i="5" s="1"/>
  <c r="AS36" i="5"/>
  <c r="AT36" i="5" s="1"/>
  <c r="AS37" i="5"/>
  <c r="AT37" i="5" s="1"/>
  <c r="AS38" i="5"/>
  <c r="AT38" i="5" s="1"/>
  <c r="O40" i="5"/>
  <c r="O41" i="5"/>
  <c r="O42" i="5"/>
  <c r="O43" i="5"/>
  <c r="O44" i="5"/>
  <c r="O45" i="5"/>
  <c r="O46" i="5"/>
  <c r="O47" i="5"/>
  <c r="O48" i="5"/>
  <c r="O49" i="5"/>
  <c r="O50" i="5"/>
  <c r="O51" i="5"/>
  <c r="P52" i="5"/>
  <c r="P53" i="5"/>
  <c r="P54" i="5"/>
  <c r="P55" i="5"/>
  <c r="T44" i="5"/>
  <c r="T43" i="5"/>
  <c r="M7" i="5"/>
  <c r="I7" i="5"/>
  <c r="I9" i="5"/>
  <c r="I11" i="5"/>
  <c r="I12" i="5"/>
  <c r="H7" i="5"/>
  <c r="H8" i="5"/>
  <c r="AX25" i="5"/>
  <c r="AX60" i="5" s="1"/>
  <c r="K13" i="5"/>
  <c r="BJ18" i="5" s="1"/>
  <c r="Q7" i="9"/>
  <c r="X40" i="5"/>
  <c r="N55" i="5"/>
  <c r="N58" i="5"/>
  <c r="N52" i="5"/>
  <c r="N18" i="5"/>
  <c r="N14" i="5"/>
  <c r="AB8" i="5"/>
  <c r="AB60" i="5" s="1"/>
  <c r="AB4" i="5"/>
  <c r="AB3" i="5"/>
  <c r="AA42" i="5"/>
  <c r="AA60" i="5" s="1"/>
  <c r="AA4" i="5"/>
  <c r="AA3" i="5"/>
  <c r="Z51" i="5"/>
  <c r="Z60" i="5" s="1"/>
  <c r="Y46" i="5"/>
  <c r="Y47" i="5"/>
  <c r="Y48" i="5"/>
  <c r="Y49" i="5"/>
  <c r="Y50" i="5"/>
  <c r="Y51" i="5"/>
  <c r="X45" i="5"/>
  <c r="X44" i="5"/>
  <c r="X43" i="5"/>
  <c r="X41" i="5"/>
  <c r="W58" i="5"/>
  <c r="W57" i="5"/>
  <c r="W56" i="5"/>
  <c r="W52" i="5"/>
  <c r="W60" i="5" s="1"/>
  <c r="W4" i="5"/>
  <c r="W3" i="5"/>
  <c r="V4" i="5"/>
  <c r="V3" i="5"/>
  <c r="U41" i="5"/>
  <c r="U43" i="5"/>
  <c r="U44" i="5"/>
  <c r="U45" i="5"/>
  <c r="U40" i="5"/>
  <c r="U4" i="5"/>
  <c r="U3" i="5"/>
  <c r="T45" i="5"/>
  <c r="T41" i="5"/>
  <c r="T40" i="5"/>
  <c r="T4" i="5"/>
  <c r="T3" i="5"/>
  <c r="S47" i="5"/>
  <c r="S48" i="5"/>
  <c r="S49" i="5"/>
  <c r="S50" i="5"/>
  <c r="S46" i="5"/>
  <c r="S51" i="5"/>
  <c r="S4" i="5"/>
  <c r="S3" i="5"/>
  <c r="R47" i="5"/>
  <c r="R48" i="5"/>
  <c r="R49" i="5"/>
  <c r="R50" i="5"/>
  <c r="R51" i="5"/>
  <c r="R46" i="5"/>
  <c r="R41" i="5"/>
  <c r="R42" i="5"/>
  <c r="R43" i="5"/>
  <c r="R44" i="5"/>
  <c r="R45" i="5"/>
  <c r="R40" i="5"/>
  <c r="R60" i="5" s="1"/>
  <c r="Q49" i="5"/>
  <c r="Q50" i="5"/>
  <c r="Q51" i="5"/>
  <c r="Q44" i="5"/>
  <c r="Q45" i="5"/>
  <c r="Q43" i="5"/>
  <c r="Q40" i="5"/>
  <c r="Q41" i="5"/>
  <c r="Q42" i="5"/>
  <c r="Q48" i="5"/>
  <c r="Q47" i="5"/>
  <c r="Q46" i="5"/>
  <c r="P4" i="5"/>
  <c r="P3" i="5"/>
  <c r="AS31" i="5"/>
  <c r="AT31" i="5" s="1"/>
  <c r="AS35" i="5"/>
  <c r="AT35" i="5" s="1"/>
  <c r="AS30" i="5"/>
  <c r="AT30" i="5" s="1"/>
  <c r="AE10" i="5"/>
  <c r="AE60" i="5" s="1"/>
  <c r="AR60" i="5"/>
  <c r="AR4" i="5"/>
  <c r="AR3" i="5"/>
  <c r="AQ20" i="5"/>
  <c r="AQ60" i="5" s="1"/>
  <c r="AQ4" i="5"/>
  <c r="AQ3" i="5"/>
  <c r="AO20" i="5"/>
  <c r="AO60" i="5" s="1"/>
  <c r="AO3" i="5"/>
  <c r="AM18" i="5"/>
  <c r="AM60" i="5" s="1"/>
  <c r="AL18" i="5"/>
  <c r="AL60" i="5" s="1"/>
  <c r="AM4" i="5"/>
  <c r="AM3" i="5"/>
  <c r="AD38" i="5"/>
  <c r="AD37" i="5"/>
  <c r="AD35" i="5"/>
  <c r="AD34" i="5"/>
  <c r="AD33" i="5"/>
  <c r="AD31" i="5"/>
  <c r="AD32" i="5"/>
  <c r="AD36" i="5"/>
  <c r="AD30" i="5"/>
  <c r="AC38" i="5"/>
  <c r="AC37" i="5"/>
  <c r="AC35" i="5"/>
  <c r="AC34" i="5"/>
  <c r="AC31" i="5"/>
  <c r="AC32" i="5"/>
  <c r="AC33" i="5"/>
  <c r="AC36" i="5"/>
  <c r="AC30" i="5"/>
  <c r="AC60" i="5" s="1"/>
  <c r="AE4" i="5"/>
  <c r="AE3" i="5"/>
  <c r="AD4" i="5"/>
  <c r="AD3" i="5"/>
  <c r="AC4" i="5"/>
  <c r="AC3" i="5"/>
  <c r="BJ3" i="5"/>
  <c r="BJ4" i="5"/>
  <c r="AS39" i="9"/>
  <c r="AR39" i="9"/>
  <c r="AQ20" i="9"/>
  <c r="AQ39" i="9" s="1"/>
  <c r="AP20" i="9"/>
  <c r="AP39" i="9" s="1"/>
  <c r="AO19" i="9"/>
  <c r="AO39" i="9" s="1"/>
  <c r="AS4" i="9"/>
  <c r="AS3" i="9"/>
  <c r="AR4" i="9"/>
  <c r="AR3" i="9"/>
  <c r="AQ4" i="9"/>
  <c r="AQ3" i="9"/>
  <c r="AP4" i="9"/>
  <c r="AP3" i="9"/>
  <c r="AO4" i="9"/>
  <c r="AO3" i="9"/>
  <c r="AN39" i="9"/>
  <c r="AL19" i="9"/>
  <c r="AL39" i="9"/>
  <c r="AK19" i="9"/>
  <c r="AK39" i="9" s="1"/>
  <c r="AJ39" i="9"/>
  <c r="AI19" i="9"/>
  <c r="AI39" i="9" s="1"/>
  <c r="AH19" i="9"/>
  <c r="AH39" i="9" s="1"/>
  <c r="AG19" i="9"/>
  <c r="AG39" i="9"/>
  <c r="AF19" i="9"/>
  <c r="AF39" i="9"/>
  <c r="AE19" i="9"/>
  <c r="AE39" i="9" s="1"/>
  <c r="AD19" i="9"/>
  <c r="AD39" i="9" s="1"/>
  <c r="AC19" i="9"/>
  <c r="AB18" i="9"/>
  <c r="AB39" i="9" s="1"/>
  <c r="AA18" i="9"/>
  <c r="AA39" i="9"/>
  <c r="Z17" i="9"/>
  <c r="Y17" i="9"/>
  <c r="Y39" i="9"/>
  <c r="X16" i="9"/>
  <c r="X39" i="9" s="1"/>
  <c r="AN4" i="9"/>
  <c r="AN3" i="9"/>
  <c r="AL4" i="9"/>
  <c r="AL3" i="9"/>
  <c r="AK4" i="9"/>
  <c r="AK3" i="9"/>
  <c r="AJ4" i="9"/>
  <c r="AJ3" i="9"/>
  <c r="AI4" i="9"/>
  <c r="AI3" i="9"/>
  <c r="AH4" i="9"/>
  <c r="AH3" i="9"/>
  <c r="AG4" i="9"/>
  <c r="AG3" i="9"/>
  <c r="AF4" i="9"/>
  <c r="AF3" i="9"/>
  <c r="AE4" i="9"/>
  <c r="AE3" i="9"/>
  <c r="AD4" i="9"/>
  <c r="AD3" i="9"/>
  <c r="AC4" i="9"/>
  <c r="AC3" i="9"/>
  <c r="AB4" i="9"/>
  <c r="AB3" i="9"/>
  <c r="AA4" i="9"/>
  <c r="AA3" i="9"/>
  <c r="Z4" i="9"/>
  <c r="Z3" i="9"/>
  <c r="Y4" i="9"/>
  <c r="Y3" i="9"/>
  <c r="X4" i="9"/>
  <c r="X3" i="9"/>
  <c r="W13" i="9"/>
  <c r="W39" i="9"/>
  <c r="W3" i="9"/>
  <c r="V11" i="9"/>
  <c r="V39" i="9"/>
  <c r="V4" i="9"/>
  <c r="V3" i="9"/>
  <c r="U10" i="9"/>
  <c r="U39" i="9" s="1"/>
  <c r="U3" i="9"/>
  <c r="T10" i="9"/>
  <c r="T39" i="9" s="1"/>
  <c r="T3" i="9"/>
  <c r="S9" i="9"/>
  <c r="S39" i="9" s="1"/>
  <c r="S4" i="9"/>
  <c r="S3" i="9"/>
  <c r="R4" i="9"/>
  <c r="R3" i="9"/>
  <c r="R8" i="9"/>
  <c r="R39" i="9"/>
  <c r="Q39" i="9"/>
  <c r="Q4" i="9"/>
  <c r="Q3" i="9"/>
  <c r="P39" i="9"/>
  <c r="N39" i="9"/>
  <c r="M39" i="9"/>
  <c r="L39" i="9"/>
  <c r="I39" i="9"/>
  <c r="H7" i="9"/>
  <c r="H39" i="9" s="1"/>
  <c r="O39" i="9"/>
  <c r="K39" i="9"/>
  <c r="P4" i="9"/>
  <c r="P3" i="9"/>
  <c r="O4" i="9"/>
  <c r="O3" i="9"/>
  <c r="N4" i="9"/>
  <c r="N3" i="9"/>
  <c r="M4" i="9"/>
  <c r="M3" i="9"/>
  <c r="L4" i="9"/>
  <c r="L3" i="9"/>
  <c r="K4" i="9"/>
  <c r="K3" i="9"/>
  <c r="J4" i="9"/>
  <c r="J3" i="9"/>
  <c r="I4" i="9"/>
  <c r="I3" i="9"/>
  <c r="H4" i="9"/>
  <c r="H3" i="9"/>
  <c r="F39" i="9"/>
  <c r="E39" i="9"/>
  <c r="D39" i="9"/>
  <c r="B39" i="9"/>
  <c r="A7" i="9"/>
  <c r="A1" i="9"/>
  <c r="BI27" i="5"/>
  <c r="BI60" i="5" s="1"/>
  <c r="BI4" i="5"/>
  <c r="BI3" i="5"/>
  <c r="BH29" i="5"/>
  <c r="BH60" i="5"/>
  <c r="BH4" i="5"/>
  <c r="BH3" i="5"/>
  <c r="BG28" i="5"/>
  <c r="BG60" i="5" s="1"/>
  <c r="BG4" i="5"/>
  <c r="BG3" i="5"/>
  <c r="BF27" i="5"/>
  <c r="BF60" i="5" s="1"/>
  <c r="BF4" i="5"/>
  <c r="BF3" i="5"/>
  <c r="BE4" i="5"/>
  <c r="BE3" i="5"/>
  <c r="BD24" i="5"/>
  <c r="BD60" i="5" s="1"/>
  <c r="BD4" i="5"/>
  <c r="BD3" i="5"/>
  <c r="BC24" i="5"/>
  <c r="BC60" i="5" s="1"/>
  <c r="BC4" i="5"/>
  <c r="BC3" i="5"/>
  <c r="BB24" i="5"/>
  <c r="BB60" i="5" s="1"/>
  <c r="BB4" i="5"/>
  <c r="BB3" i="5"/>
  <c r="BA25" i="5"/>
  <c r="BA60" i="5" s="1"/>
  <c r="BA4" i="5"/>
  <c r="BA3" i="5"/>
  <c r="AZ24" i="5"/>
  <c r="AZ60" i="5"/>
  <c r="AY24" i="5"/>
  <c r="AY60" i="5" s="1"/>
  <c r="AZ4" i="5"/>
  <c r="AZ3" i="5"/>
  <c r="AY4" i="5"/>
  <c r="AY3" i="5"/>
  <c r="AX4" i="5"/>
  <c r="AX3" i="5"/>
  <c r="AW24" i="5"/>
  <c r="AW60" i="5"/>
  <c r="AV23" i="5"/>
  <c r="AV60" i="5"/>
  <c r="AU23" i="5"/>
  <c r="AU60" i="5" s="1"/>
  <c r="AW4" i="5"/>
  <c r="AW3" i="5"/>
  <c r="AV4" i="5"/>
  <c r="AV3" i="5"/>
  <c r="AU4" i="5"/>
  <c r="AU3" i="5"/>
  <c r="AT4" i="5"/>
  <c r="AT3" i="5"/>
  <c r="AS4" i="5"/>
  <c r="AS3" i="5"/>
  <c r="AN4" i="5"/>
  <c r="AN3" i="5"/>
  <c r="AL4" i="5"/>
  <c r="AL3" i="5"/>
  <c r="AK60" i="5"/>
  <c r="AK4" i="5"/>
  <c r="AK3" i="5"/>
  <c r="AJ22" i="5"/>
  <c r="AJ21" i="5"/>
  <c r="AJ20" i="5"/>
  <c r="AJ19" i="5"/>
  <c r="AJ60" i="5" s="1"/>
  <c r="AJ4" i="5"/>
  <c r="AJ3" i="5"/>
  <c r="AI21" i="5"/>
  <c r="AI22" i="5"/>
  <c r="AI20" i="5"/>
  <c r="AI19" i="5"/>
  <c r="AI4" i="5"/>
  <c r="AI3" i="5"/>
  <c r="AH19" i="5"/>
  <c r="AH22" i="5"/>
  <c r="AH21" i="5"/>
  <c r="AH20" i="5"/>
  <c r="AH60" i="5" s="1"/>
  <c r="AH4" i="5"/>
  <c r="AH3" i="5"/>
  <c r="AC39" i="9"/>
  <c r="Z39" i="9"/>
  <c r="J39" i="9"/>
  <c r="AG16" i="5"/>
  <c r="AG17" i="5"/>
  <c r="AG15" i="5"/>
  <c r="AG14" i="5"/>
  <c r="AG18" i="5"/>
  <c r="AG4" i="5"/>
  <c r="AG3" i="5"/>
  <c r="A7" i="5"/>
  <c r="AF14" i="5"/>
  <c r="AF15" i="5"/>
  <c r="AF16" i="5"/>
  <c r="AF17" i="5"/>
  <c r="AF3" i="5"/>
  <c r="N4" i="5"/>
  <c r="N3" i="5"/>
  <c r="L7" i="5"/>
  <c r="L60" i="5" s="1"/>
  <c r="L4" i="5"/>
  <c r="L3" i="5"/>
  <c r="K3" i="5"/>
  <c r="M3" i="5"/>
  <c r="K4" i="5"/>
  <c r="J4" i="5"/>
  <c r="J3" i="5"/>
  <c r="A1" i="5"/>
  <c r="F60" i="5"/>
  <c r="E60" i="5"/>
  <c r="B60" i="5"/>
  <c r="AI27" i="5"/>
  <c r="AJ26" i="5"/>
  <c r="AI26" i="5"/>
  <c r="AJ25" i="5"/>
  <c r="AI25" i="5"/>
  <c r="K7" i="5"/>
  <c r="G174" i="3"/>
  <c r="H176" i="3" s="1"/>
  <c r="E157" i="3" s="1"/>
  <c r="G157" i="3" s="1"/>
  <c r="H159" i="3" s="1"/>
  <c r="G75" i="3"/>
  <c r="G85" i="3"/>
  <c r="H87" i="3" s="1"/>
  <c r="G74" i="3"/>
  <c r="G73" i="3"/>
  <c r="AF60" i="5" l="1"/>
  <c r="AD60" i="5"/>
  <c r="X60" i="5"/>
  <c r="O60" i="5"/>
  <c r="D60" i="5"/>
  <c r="H77" i="3"/>
  <c r="AG60" i="5"/>
  <c r="K60" i="5"/>
  <c r="AI60" i="5"/>
  <c r="Q60" i="5"/>
  <c r="N60" i="5"/>
  <c r="AT60" i="5"/>
  <c r="S60" i="5"/>
  <c r="T60" i="5"/>
  <c r="U60" i="5"/>
  <c r="I60" i="5"/>
  <c r="M8" i="5" s="1"/>
  <c r="Y60" i="5"/>
  <c r="H60" i="5"/>
  <c r="P60" i="5"/>
  <c r="C209" i="3"/>
  <c r="E68" i="3"/>
  <c r="G68" i="3" s="1"/>
  <c r="H70" i="3" s="1"/>
  <c r="H166" i="3"/>
  <c r="H178" i="3" s="1"/>
  <c r="F22" i="1" s="1"/>
  <c r="G22" i="1" s="1"/>
  <c r="G26" i="1"/>
  <c r="G27" i="1" s="1"/>
  <c r="M9" i="5"/>
  <c r="V60" i="5"/>
  <c r="AS60" i="5"/>
  <c r="J60" i="5"/>
  <c r="H89" i="3" l="1"/>
  <c r="F15" i="1" s="1"/>
  <c r="G15" i="1" s="1"/>
  <c r="G16" i="1" s="1"/>
  <c r="G23" i="1"/>
  <c r="M60" i="5"/>
  <c r="G18" i="1" l="1"/>
  <c r="G20" i="1" l="1"/>
  <c r="G29" i="1" l="1"/>
  <c r="G31" i="1" s="1"/>
  <c r="G32" i="1" l="1"/>
  <c r="G33" i="1"/>
  <c r="G35" i="1" l="1"/>
  <c r="G38" i="1" s="1"/>
</calcChain>
</file>

<file path=xl/sharedStrings.xml><?xml version="1.0" encoding="utf-8"?>
<sst xmlns="http://schemas.openxmlformats.org/spreadsheetml/2006/main" count="777" uniqueCount="161">
  <si>
    <t>" MEJORAMIENTO, ADECUACIÓN MENOR Y MANTENIMIENTO DE LA INFRAESTRUCTURA DE LAS INSTITUCIONES EDUCATIVAS URBANAS Y RURALES DEL MUNICIPIO DE SAN JOSÉ DE CÚCUTA"</t>
  </si>
  <si>
    <t>SECRETARIA DE EDUCACION MUNICIPAL</t>
  </si>
  <si>
    <t>SUBSECRETARIA DE PLANEACIÓN Y DESARROLLO EDUCATIVO</t>
  </si>
  <si>
    <t xml:space="preserve">PRESUPUESTO GENERAL DEL PROYECTO                                                                                                                 </t>
  </si>
  <si>
    <t>FECHA: JULIO 2023</t>
  </si>
  <si>
    <t xml:space="preserve">NOMBRE DE LA INSTUTUCION </t>
  </si>
  <si>
    <t>COLEGIO MUNICIPAL MARIA CONCEPCION LOPERENA</t>
  </si>
  <si>
    <t xml:space="preserve">CODIGO DANE </t>
  </si>
  <si>
    <t>DIRECCION</t>
  </si>
  <si>
    <t>AV LIBERTADORES NO 16E-30 BARRIO SAN EDUARDO</t>
  </si>
  <si>
    <t>ZONA</t>
  </si>
  <si>
    <t xml:space="preserve">URBANA </t>
  </si>
  <si>
    <t>ITEM</t>
  </si>
  <si>
    <t>ESP-TEC</t>
  </si>
  <si>
    <t xml:space="preserve">DESCRIPCION </t>
  </si>
  <si>
    <t xml:space="preserve">UNIDAD </t>
  </si>
  <si>
    <t>CANTIDAD</t>
  </si>
  <si>
    <t>VALOR UNITARIO</t>
  </si>
  <si>
    <t>VALOR TOTAL</t>
  </si>
  <si>
    <t xml:space="preserve">PRELIMINARES </t>
  </si>
  <si>
    <t>1.0 PRELIMINARES</t>
  </si>
  <si>
    <t>DESMONTE, DEMOLICIONES Y RETIRO DE ALISTADO O PLANTILLA DE NIVELACION DE PISO (TORTA) CONSIDERANDO EL ESTADO DE LA MISMA EN EL SITIO</t>
  </si>
  <si>
    <t>M2</t>
  </si>
  <si>
    <t>SUB - TOTAL ACTIVIDAD</t>
  </si>
  <si>
    <t xml:space="preserve"> 2.0 MAMPOSTERIA, PISOS Y GUARDAESCOBAS</t>
  </si>
  <si>
    <t xml:space="preserve">SUMINISTRO DE MATERIALES Y HECHURA DE PLANTILLA DE NIVELACION Y/O AFINADO DE PISO EN MORTERO 1:3 PARA PEGA DEL NUEVO ACABADO DE PISO, ESPESOR MÍNIMO DE 3 CMS. INCLUYE EL RETIRO DE IRREGULARIDADES QUE PUEDAN QUEDAR DESPUES DE DEMOLER EL ACTUAL ACABADO Y LA PLANTILLA DE PISO. </t>
  </si>
  <si>
    <t xml:space="preserve">SUMINISTRO E INSTALACION de pisos en tablon de gress de 30 x 30 o 33 x 33 incluye mortero de pega. </t>
  </si>
  <si>
    <t>3.0  CUBIERTAS Y ESTRUCTURAS METALICAS</t>
  </si>
  <si>
    <t xml:space="preserve">MANTENIMIENTO DE TERRAZAS con suministro y aplicación de  manto impermeabilizante tipo N 4 o similar, (incluye correccion de pendiente, construccion de mediacañas y desmonte de manto o impermeabilizacion existente en caso de requerirse) </t>
  </si>
  <si>
    <t>SUMINISTRO E INSTALACION de baranda en tubo metálico de 11/2" y tensores de 2 filas en tubo metálico de 1", apoyada sobre parales en platina de acero de 2" X 3/16" y anclaje epoxico Hilti RD500</t>
  </si>
  <si>
    <t>ML</t>
  </si>
  <si>
    <t>SUB TOTAL ACTIVIDAD</t>
  </si>
  <si>
    <t>4.0 PINTURA</t>
  </si>
  <si>
    <t>SUMINISTRO DE MATERIALES Y APLICACIÓN DE TRES (3) MANOS DE PINTURA VINILICA PARA MUROS TIPO 1(INCLUYE RESANES) COLOR A ESCOGER.</t>
  </si>
  <si>
    <t>5.0 VARIOS</t>
  </si>
  <si>
    <t>SUMINISTRO E INSTALACION de cinta antideslizante</t>
  </si>
  <si>
    <t>ASEO GENERAL Y LIMPIEZA EN SUS ALREDEDORES Y AREAS INTERVENIDAS (Incluye pisos y muros de aulas, pasillos y zona de exparcimiento)</t>
  </si>
  <si>
    <t xml:space="preserve">TOTAL COSTOS DIRECTOS </t>
  </si>
  <si>
    <t xml:space="preserve">ADMINISTRACIÓN </t>
  </si>
  <si>
    <t>IMPREVISTOS</t>
  </si>
  <si>
    <t>UTILIDAD</t>
  </si>
  <si>
    <t>TOTAL COSTOS INDIRECTOS</t>
  </si>
  <si>
    <t>TOTAL COSTO PROYECTO</t>
  </si>
  <si>
    <r>
      <rPr>
        <b/>
        <sz val="11"/>
        <rFont val="Tahoma"/>
        <family val="2"/>
      </rPr>
      <t xml:space="preserve">VALOR EN LETRA: </t>
    </r>
    <r>
      <rPr>
        <sz val="11"/>
        <rFont val="Tahoma"/>
        <family val="2"/>
      </rPr>
      <t xml:space="preserve">
</t>
    </r>
    <r>
      <rPr>
        <b/>
        <sz val="11"/>
        <rFont val="Tahoma"/>
        <family val="2"/>
      </rPr>
      <t xml:space="preserve"> OCHENTA Y UN MILLONES DOSCIENTOS CUARENTA Y CUATRO MIL PESOS M/CTE</t>
    </r>
    <r>
      <rPr>
        <sz val="11"/>
        <rFont val="Tahoma"/>
        <family val="2"/>
      </rPr>
      <t xml:space="preserve">
</t>
    </r>
  </si>
  <si>
    <t xml:space="preserve">MUNICIPIO DE CÚCUTA </t>
  </si>
  <si>
    <t>MEMORIAS DE CANTIDADES DE OBRA</t>
  </si>
  <si>
    <t>FECHA: JULIO DE 2023</t>
  </si>
  <si>
    <t xml:space="preserve">CÓDIGO: </t>
  </si>
  <si>
    <t xml:space="preserve">VERSIÓN: </t>
  </si>
  <si>
    <t xml:space="preserve">FECHA: </t>
  </si>
  <si>
    <t xml:space="preserve">PROYECTO: </t>
  </si>
  <si>
    <t>FECHA:</t>
  </si>
  <si>
    <t>DD</t>
  </si>
  <si>
    <t>MM</t>
  </si>
  <si>
    <t>AAAA</t>
  </si>
  <si>
    <t>TIPO DE CONTRATO:</t>
  </si>
  <si>
    <t xml:space="preserve">CORTE Nº: </t>
  </si>
  <si>
    <t>CONTRATISTA</t>
  </si>
  <si>
    <t>NIT O C.C.</t>
  </si>
  <si>
    <t>UNIDAD</t>
  </si>
  <si>
    <t>CAPITULO:</t>
  </si>
  <si>
    <t xml:space="preserve">Nº </t>
  </si>
  <si>
    <t>DIMENSIONES</t>
  </si>
  <si>
    <t>AREA</t>
  </si>
  <si>
    <t>CANT</t>
  </si>
  <si>
    <t xml:space="preserve">UBICACIÓN / DESCRIPCIÓN </t>
  </si>
  <si>
    <t>TOTAL</t>
  </si>
  <si>
    <t>ITEM:</t>
  </si>
  <si>
    <t>LARGO</t>
  </si>
  <si>
    <t>ANCHO</t>
  </si>
  <si>
    <t>ALTO</t>
  </si>
  <si>
    <t>AREA 4</t>
  </si>
  <si>
    <t>AREA 7</t>
  </si>
  <si>
    <t xml:space="preserve">OBSERVACIONES:  </t>
  </si>
  <si>
    <t>INSTALACIONES INTERVENIDAS</t>
  </si>
  <si>
    <t>CÁLCULO DE CANTIDADES DE OBRA CASA DEL ABUELO</t>
  </si>
  <si>
    <t>UBICACIÓN</t>
  </si>
  <si>
    <t>MEDIDAS DE</t>
  </si>
  <si>
    <t>DEMOLICIÓN DE PISO</t>
  </si>
  <si>
    <t>DEMOLICIÓN DE MURO SENCILLO</t>
  </si>
  <si>
    <t>RETIRO DE SOBRANTES</t>
  </si>
  <si>
    <t>EXCAVACIÓN MANUAL PARA CIMENTACIONES</t>
  </si>
  <si>
    <t>SOLADO EN CONCRETO 2500 PSI</t>
  </si>
  <si>
    <t>CONCRETO CICLOPEO (60% CONCRETO 3000 PSI Y 40% PIEDRA)</t>
  </si>
  <si>
    <t>COLUMNAS EN CONCRETO 3.000 PSI.</t>
  </si>
  <si>
    <t>VIGUETA DE CONFINAMIENTO EN CONCRETO DE 3000 PSI, SIN REFUERZO</t>
  </si>
  <si>
    <t>VIGA CINTA SOBRE MURO EN CONCRETO 3.000 PSI .15X.20</t>
  </si>
  <si>
    <t>CIELO RASO EN PVC</t>
  </si>
  <si>
    <t>PUERTAS EN VIDRIO DE CRISTAL INCOLORO TEMPALADO DE 10MM CON PERFIL ZOCALO INFERIOR</t>
  </si>
  <si>
    <t>AFECTACIÓN (ML)</t>
  </si>
  <si>
    <t>AREAS SEGÚN PLANOS</t>
  </si>
  <si>
    <t>ESPESOR ALTURA (H)</t>
  </si>
  <si>
    <t>#UNIDADES</t>
  </si>
  <si>
    <t>(M2)</t>
  </si>
  <si>
    <t>(M3)</t>
  </si>
  <si>
    <t>(ML)</t>
  </si>
  <si>
    <t>M3</t>
  </si>
  <si>
    <t>UND</t>
  </si>
  <si>
    <t>oficinas</t>
  </si>
  <si>
    <t>SUMATORIA TOTAL</t>
  </si>
  <si>
    <t>MARIA DEL ROSARIO BERMUDEZ GAMEZ</t>
  </si>
  <si>
    <t>JESÚS NABOR HINCAPIE VERA</t>
  </si>
  <si>
    <t>Ing. Civil-Especialista en Diseño y Evaluación de Proyectos</t>
  </si>
  <si>
    <t>Secretario de Infraestructura Municipal</t>
  </si>
  <si>
    <t>M.P. N° 20202-354230 CES.</t>
  </si>
  <si>
    <t>Fecha revision:  Abril de 2021</t>
  </si>
  <si>
    <t>ESCRITORIO GERENTE DE 1.80M*1.50M</t>
  </si>
  <si>
    <t>PUESTO DE TRABAJO 1.20X0.60 CON ARCHIVADOR SUPERFICIE 1 EN TABLEX DE 25MM EN LAMINADO DECORATIVO DE ALTA PRESION</t>
  </si>
  <si>
    <t>SILLA PRESIDENCIAL BASE CROMADA CON RESPALDO ALTO Y CABECERO REGULACION DE ALTURA</t>
  </si>
  <si>
    <t>ANALISIS DE PRECIOS UNITARIOS</t>
  </si>
  <si>
    <t>PROPONENTE</t>
  </si>
  <si>
    <t>ALCALDIA DE CÚCUTA</t>
  </si>
  <si>
    <t>OBRA</t>
  </si>
  <si>
    <t xml:space="preserve">ITEM:  </t>
  </si>
  <si>
    <t>1 - EQUIPO</t>
  </si>
  <si>
    <t>DESCRIPCION</t>
  </si>
  <si>
    <t>VALOR</t>
  </si>
  <si>
    <t>RENDIMIENTO</t>
  </si>
  <si>
    <t>%</t>
  </si>
  <si>
    <t>VALOR PARCIAL</t>
  </si>
  <si>
    <t>HERRAMIENTAS MENORES</t>
  </si>
  <si>
    <t>%MO</t>
  </si>
  <si>
    <t>SUB - TOTAL EQUIPOS</t>
  </si>
  <si>
    <t>2 - MATERIALES</t>
  </si>
  <si>
    <t>VR. UNITARIO</t>
  </si>
  <si>
    <t>SUB - TOTAL MATERIALES</t>
  </si>
  <si>
    <t>3 - TRANSPORTE</t>
  </si>
  <si>
    <t>VOL. PESO o CANT.</t>
  </si>
  <si>
    <t>DISTANCIA</t>
  </si>
  <si>
    <t>M3-KM</t>
  </si>
  <si>
    <t>CARGUE Y RETIRO Y ACOMODACION 5km</t>
  </si>
  <si>
    <t>SUB - TOTAL MANO DE OBRA</t>
  </si>
  <si>
    <t>4 - MANO DE OBRA</t>
  </si>
  <si>
    <t>Cuadrilla (1) oficial x (1) ayudante</t>
  </si>
  <si>
    <t>hc</t>
  </si>
  <si>
    <t xml:space="preserve"> </t>
  </si>
  <si>
    <t xml:space="preserve">(1) Ayudante de construcción </t>
  </si>
  <si>
    <t>VALOR COSTO DIRECTO</t>
  </si>
  <si>
    <t>FECHA:  JULIO  DE 2023</t>
  </si>
  <si>
    <t>CEMENTO</t>
  </si>
  <si>
    <t>BULTO</t>
  </si>
  <si>
    <t>ARENA</t>
  </si>
  <si>
    <t>3-TRANSPORTE</t>
  </si>
  <si>
    <t>4-MANO DE OBRA</t>
  </si>
  <si>
    <t xml:space="preserve">(1) Oficial de construcción </t>
  </si>
  <si>
    <t>ENCHAPE TABLON DE GRES</t>
  </si>
  <si>
    <t>PEGACORD 8 KG</t>
  </si>
  <si>
    <t>PEGA PARA EMBOQUILLAR</t>
  </si>
  <si>
    <t>KG</t>
  </si>
  <si>
    <t xml:space="preserve">ANDAMIOS </t>
  </si>
  <si>
    <t>MANTO PARA TERRAZAS</t>
  </si>
  <si>
    <t>EMULSION PARA TERRAZAS</t>
  </si>
  <si>
    <t>GL</t>
  </si>
  <si>
    <t>BARANDA METALICA</t>
  </si>
  <si>
    <t>PINTURA TIPO 1 3 MANOS</t>
  </si>
  <si>
    <t>CUÑETE</t>
  </si>
  <si>
    <t>Cuadrilla (1) oficial x (2) ayudante</t>
  </si>
  <si>
    <t>VR.UNITARIO</t>
  </si>
  <si>
    <t>CINTA ANTIDESLIZANTE</t>
  </si>
  <si>
    <t>ANDAMIOS</t>
  </si>
  <si>
    <t xml:space="preserve">OTROS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</si>
</sst>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_(* #,##0_);_(* \(#,##0\);_(* &quot;-&quot;??_);_(@_)"/>
    <numFmt numFmtId="169" formatCode="_-* #,##0_-;\-* #,##0_-;_-* &quot;-&quot;??_-;_-@_-"/>
    <numFmt numFmtId="170" formatCode="0.0"/>
    <numFmt numFmtId="171" formatCode="[$$-240A]\ #,##0.00"/>
    <numFmt numFmtId="172" formatCode="#,##0.000"/>
    <numFmt numFmtId="173" formatCode="#,##0.0000"/>
    <numFmt numFmtId="174" formatCode="_-&quot;$&quot;\ * #,##0.00_-;\-&quot;$&quot;\ * #,##0.00_-;_-&quot;$&quot;\ * &quot;-&quot;_-;_-@_-"/>
    <numFmt numFmtId="175" formatCode="[$$-240A]\ #,##0"/>
    <numFmt numFmtId="176" formatCode="_ * #,##0.00_ ;_ * \-#,##0.00_ ;_ * &quot;-&quot;??_ ;_ @_ "/>
    <numFmt numFmtId="177" formatCode="_-* #,##0.0_-;\-* #,##0.0_-;_-* &quot;-&quot;??_-;_-@_-"/>
    <numFmt numFmtId="178" formatCode="\K0\+000"/>
    <numFmt numFmtId="179" formatCode="_ &quot;$&quot;\ * #,##0.00_ ;_ &quot;$&quot;\ * \-#,##0.00_ ;_ &quot;$&quot;\ * &quot;-&quot;??_ ;_ @_ "/>
    <numFmt numFmtId="180" formatCode="[$-F800]dddd\,\ mmmm\ dd\,\ yyyy"/>
    <numFmt numFmtId="181" formatCode="0.00\ &quot;M&quot;"/>
    <numFmt numFmtId="182" formatCode="0.00\ &quot;M3&quot;"/>
    <numFmt numFmtId="183" formatCode="0.00\ &quot;M2&quot;"/>
    <numFmt numFmtId="184" formatCode="&quot;$&quot;\ #,##0"/>
    <numFmt numFmtId="185" formatCode="&quot;$&quot;\ #,##0.00"/>
    <numFmt numFmtId="186" formatCode="0.00;[Red]0.00"/>
    <numFmt numFmtId="187" formatCode="[$$-240A]\ #,##0;[Red][$$-240A]\ #,##0"/>
    <numFmt numFmtId="188" formatCode="[$$-240A]\ #,##0.00;[Red][$$-240A]\ #,##0.00"/>
  </numFmts>
  <fonts count="7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sz val="14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b/>
      <sz val="14"/>
      <color theme="1"/>
      <name val="Tahoma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12"/>
      <name val="Arial"/>
      <family val="2"/>
    </font>
    <font>
      <b/>
      <sz val="16"/>
      <name val="Tahoma"/>
      <family val="2"/>
    </font>
    <font>
      <b/>
      <sz val="14"/>
      <name val="Tahoma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.5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Open Sans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mo"/>
    </font>
    <font>
      <b/>
      <sz val="10"/>
      <color theme="1"/>
      <name val="Arimo"/>
    </font>
    <font>
      <sz val="12"/>
      <color theme="1"/>
      <name val="Arial"/>
      <family val="2"/>
    </font>
    <font>
      <b/>
      <sz val="14"/>
      <color theme="1"/>
      <name val="Arimo"/>
    </font>
    <font>
      <b/>
      <sz val="11"/>
      <color theme="1"/>
      <name val="Arimo"/>
    </font>
    <font>
      <b/>
      <sz val="12"/>
      <color theme="1"/>
      <name val="Arial"/>
      <family val="2"/>
    </font>
    <font>
      <sz val="16"/>
      <color theme="1"/>
      <name val="Arimo"/>
    </font>
    <font>
      <sz val="12"/>
      <color theme="1"/>
      <name val="Arimo"/>
    </font>
    <font>
      <b/>
      <sz val="12"/>
      <color theme="1"/>
      <name val="Arimo"/>
    </font>
    <font>
      <b/>
      <sz val="9"/>
      <color theme="1"/>
      <name val="Arial"/>
      <family val="2"/>
    </font>
    <font>
      <sz val="8"/>
      <color theme="1"/>
      <name val="Arimo"/>
    </font>
    <font>
      <sz val="12"/>
      <color theme="0"/>
      <name val="Arimo"/>
    </font>
    <font>
      <b/>
      <sz val="12"/>
      <name val="Arimo"/>
    </font>
    <font>
      <sz val="8"/>
      <name val="Calibri"/>
      <family val="2"/>
      <scheme val="minor"/>
    </font>
    <font>
      <b/>
      <sz val="16"/>
      <color rgb="FF000000"/>
      <name val="Tahoma"/>
      <family val="2"/>
    </font>
    <font>
      <sz val="10"/>
      <color indexed="8"/>
      <name val="MS Sans Serif"/>
    </font>
    <font>
      <sz val="7.9"/>
      <color indexed="8"/>
      <name val="Arial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2"/>
      <color rgb="FFFF0000"/>
      <name val="Arimo"/>
    </font>
    <font>
      <sz val="10"/>
      <color rgb="FFFF0000"/>
      <name val="Open Sans"/>
      <family val="2"/>
    </font>
    <font>
      <sz val="11"/>
      <color rgb="FFFF0000"/>
      <name val="Arial"/>
      <family val="2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10"/>
      <color theme="1"/>
      <name val="Open Sans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Tahoma"/>
      <family val="2"/>
    </font>
    <font>
      <sz val="8"/>
      <color theme="1"/>
      <name val="Arial "/>
    </font>
    <font>
      <sz val="8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b/>
      <sz val="16"/>
      <color theme="1"/>
      <name val="Arial"/>
      <family val="2"/>
    </font>
    <font>
      <b/>
      <sz val="10"/>
      <color rgb="FFFF0000"/>
      <name val="Arimo"/>
    </font>
    <font>
      <sz val="10"/>
      <color rgb="FFFF0000"/>
      <name val="Arimo"/>
    </font>
    <font>
      <b/>
      <sz val="14"/>
      <color rgb="FFFF0000"/>
      <name val="Arimo"/>
    </font>
    <font>
      <b/>
      <sz val="12"/>
      <color rgb="FFFF0000"/>
      <name val="Arimo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Tahoma"/>
      <family val="2"/>
    </font>
    <font>
      <b/>
      <sz val="1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8D8D8"/>
        <bgColor rgb="FFD8D8D8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rgb="FFD8D8D8"/>
      </patternFill>
    </fill>
  </fills>
  <borders count="1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 style="medium">
        <color indexed="64"/>
      </top>
      <bottom style="thin">
        <color indexed="64"/>
      </bottom>
      <diagonal/>
    </border>
    <border>
      <left/>
      <right style="medium">
        <color rgb="FF0070C0"/>
      </right>
      <top style="thin">
        <color indexed="64"/>
      </top>
      <bottom/>
      <diagonal/>
    </border>
    <border>
      <left/>
      <right style="medium">
        <color rgb="FF0070C0"/>
      </right>
      <top/>
      <bottom style="thin">
        <color indexed="64"/>
      </bottom>
      <diagonal/>
    </border>
    <border>
      <left/>
      <right style="medium">
        <color rgb="FF0070C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70C0"/>
      </right>
      <top style="medium">
        <color indexed="64"/>
      </top>
      <bottom style="medium">
        <color indexed="64"/>
      </bottom>
      <diagonal/>
    </border>
    <border>
      <left/>
      <right style="medium">
        <color rgb="FF0070C0"/>
      </right>
      <top/>
      <bottom/>
      <diagonal/>
    </border>
    <border>
      <left style="medium">
        <color indexed="64"/>
      </left>
      <right style="medium">
        <color rgb="FF0070C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5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7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" fillId="0" borderId="0"/>
    <xf numFmtId="9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165" fontId="23" fillId="0" borderId="0" applyFont="0" applyFill="0" applyBorder="0" applyAlignment="0" applyProtection="0"/>
    <xf numFmtId="42" fontId="1" fillId="0" borderId="0" applyFont="0" applyFill="0" applyBorder="0" applyAlignment="0" applyProtection="0"/>
    <xf numFmtId="179" fontId="9" fillId="0" borderId="0" applyFont="0" applyFill="0" applyBorder="0" applyAlignment="0" applyProtection="0"/>
    <xf numFmtId="44" fontId="2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8" fillId="0" borderId="0"/>
    <xf numFmtId="0" fontId="27" fillId="0" borderId="0"/>
    <xf numFmtId="165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48" fillId="0" borderId="0"/>
    <xf numFmtId="176" fontId="49" fillId="0" borderId="0" applyFont="0" applyFill="0" applyBorder="0" applyAlignment="0" applyProtection="0"/>
    <xf numFmtId="0" fontId="9" fillId="0" borderId="0"/>
  </cellStyleXfs>
  <cellXfs count="9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6" fontId="2" fillId="0" borderId="0" xfId="1" applyFont="1" applyBorder="1" applyAlignment="1">
      <alignment vertical="center"/>
    </xf>
    <xf numFmtId="166" fontId="2" fillId="0" borderId="0" xfId="1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0" fillId="0" borderId="1" xfId="0" applyBorder="1"/>
    <xf numFmtId="166" fontId="2" fillId="0" borderId="0" xfId="1" applyFont="1" applyBorder="1" applyAlignment="1">
      <alignment horizontal="center" vertical="center"/>
    </xf>
    <xf numFmtId="166" fontId="2" fillId="0" borderId="0" xfId="1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1" fillId="5" borderId="5" xfId="0" applyFont="1" applyFill="1" applyBorder="1" applyAlignment="1">
      <alignment horizontal="center" vertical="center" wrapText="1"/>
    </xf>
    <xf numFmtId="43" fontId="11" fillId="5" borderId="11" xfId="15" applyFont="1" applyFill="1" applyBorder="1" applyAlignment="1">
      <alignment horizontal="center" vertical="center" wrapText="1"/>
    </xf>
    <xf numFmtId="177" fontId="11" fillId="5" borderId="11" xfId="15" applyNumberFormat="1" applyFont="1" applyFill="1" applyBorder="1" applyAlignment="1">
      <alignment horizontal="center" vertical="center" wrapText="1"/>
    </xf>
    <xf numFmtId="177" fontId="11" fillId="5" borderId="1" xfId="15" applyNumberFormat="1" applyFont="1" applyFill="1" applyBorder="1" applyAlignment="1">
      <alignment vertical="center" wrapText="1"/>
    </xf>
    <xf numFmtId="177" fontId="11" fillId="5" borderId="1" xfId="15" applyNumberFormat="1" applyFont="1" applyFill="1" applyBorder="1" applyAlignment="1">
      <alignment horizontal="center" vertical="center" wrapText="1"/>
    </xf>
    <xf numFmtId="43" fontId="11" fillId="5" borderId="20" xfId="15" applyFont="1" applyFill="1" applyBorder="1" applyAlignment="1">
      <alignment horizontal="center" vertical="center" wrapText="1"/>
    </xf>
    <xf numFmtId="43" fontId="11" fillId="5" borderId="2" xfId="15" applyFont="1" applyFill="1" applyBorder="1" applyAlignment="1">
      <alignment horizontal="center" vertical="center" wrapText="1"/>
    </xf>
    <xf numFmtId="43" fontId="20" fillId="5" borderId="34" xfId="15" applyFont="1" applyFill="1" applyBorder="1" applyAlignment="1">
      <alignment horizontal="center" vertical="center" wrapText="1"/>
    </xf>
    <xf numFmtId="43" fontId="13" fillId="5" borderId="34" xfId="15" applyFont="1" applyFill="1" applyBorder="1" applyAlignment="1">
      <alignment horizontal="center" vertical="center" wrapText="1"/>
    </xf>
    <xf numFmtId="43" fontId="20" fillId="5" borderId="44" xfId="15" applyFont="1" applyFill="1" applyBorder="1" applyAlignment="1">
      <alignment horizontal="center" vertical="center" wrapText="1"/>
    </xf>
    <xf numFmtId="166" fontId="12" fillId="0" borderId="1" xfId="17" applyFont="1" applyFill="1" applyBorder="1" applyAlignment="1">
      <alignment vertical="center" wrapText="1"/>
    </xf>
    <xf numFmtId="166" fontId="12" fillId="2" borderId="1" xfId="17" applyFont="1" applyFill="1" applyBorder="1" applyAlignment="1">
      <alignment vertical="center" wrapText="1"/>
    </xf>
    <xf numFmtId="166" fontId="12" fillId="2" borderId="47" xfId="17" applyFont="1" applyFill="1" applyBorder="1" applyAlignment="1">
      <alignment vertical="center" wrapText="1"/>
    </xf>
    <xf numFmtId="166" fontId="12" fillId="2" borderId="47" xfId="17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166" fontId="12" fillId="2" borderId="44" xfId="17" applyFont="1" applyFill="1" applyBorder="1" applyAlignment="1">
      <alignment horizontal="center" vertical="center" wrapText="1"/>
    </xf>
    <xf numFmtId="166" fontId="12" fillId="2" borderId="45" xfId="17" applyFont="1" applyFill="1" applyBorder="1" applyAlignment="1">
      <alignment horizontal="center" vertical="center" wrapText="1"/>
    </xf>
    <xf numFmtId="166" fontId="12" fillId="2" borderId="76" xfId="17" applyFont="1" applyFill="1" applyBorder="1" applyAlignment="1">
      <alignment horizontal="center" vertical="center" wrapText="1"/>
    </xf>
    <xf numFmtId="166" fontId="12" fillId="2" borderId="44" xfId="17" applyFont="1" applyFill="1" applyBorder="1" applyAlignment="1">
      <alignment vertical="center" wrapText="1"/>
    </xf>
    <xf numFmtId="166" fontId="12" fillId="0" borderId="1" xfId="17" applyFont="1" applyFill="1" applyBorder="1" applyAlignment="1">
      <alignment horizontal="center" vertical="center" wrapText="1"/>
    </xf>
    <xf numFmtId="41" fontId="16" fillId="2" borderId="29" xfId="16" applyFont="1" applyFill="1" applyBorder="1" applyAlignment="1">
      <alignment horizontal="center" vertical="center" wrapText="1"/>
    </xf>
    <xf numFmtId="166" fontId="11" fillId="2" borderId="40" xfId="17" applyFont="1" applyFill="1" applyBorder="1" applyAlignment="1">
      <alignment vertical="center" wrapText="1"/>
    </xf>
    <xf numFmtId="166" fontId="11" fillId="2" borderId="38" xfId="17" applyFont="1" applyFill="1" applyBorder="1" applyAlignment="1">
      <alignment vertical="center" wrapText="1"/>
    </xf>
    <xf numFmtId="166" fontId="11" fillId="2" borderId="30" xfId="17" applyFont="1" applyFill="1" applyBorder="1" applyAlignment="1">
      <alignment vertical="center" wrapText="1"/>
    </xf>
    <xf numFmtId="166" fontId="11" fillId="2" borderId="31" xfId="17" applyFont="1" applyFill="1" applyBorder="1" applyAlignment="1">
      <alignment vertical="center" wrapText="1"/>
    </xf>
    <xf numFmtId="166" fontId="11" fillId="2" borderId="28" xfId="17" applyFont="1" applyFill="1" applyBorder="1" applyAlignment="1">
      <alignment vertical="center" wrapText="1"/>
    </xf>
    <xf numFmtId="166" fontId="11" fillId="2" borderId="48" xfId="17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43" fontId="22" fillId="2" borderId="0" xfId="15" applyFont="1" applyFill="1" applyAlignment="1">
      <alignment vertical="center" wrapText="1"/>
    </xf>
    <xf numFmtId="43" fontId="22" fillId="2" borderId="14" xfId="15" applyFont="1" applyFill="1" applyBorder="1" applyAlignment="1">
      <alignment vertical="center" wrapText="1"/>
    </xf>
    <xf numFmtId="43" fontId="9" fillId="2" borderId="0" xfId="15" applyFont="1" applyFill="1" applyAlignment="1">
      <alignment vertical="center" wrapText="1"/>
    </xf>
    <xf numFmtId="43" fontId="9" fillId="2" borderId="14" xfId="15" applyFont="1" applyFill="1" applyBorder="1" applyAlignment="1">
      <alignment vertical="center" wrapText="1"/>
    </xf>
    <xf numFmtId="43" fontId="9" fillId="2" borderId="0" xfId="15" applyFont="1" applyFill="1" applyBorder="1" applyAlignment="1">
      <alignment vertical="center" wrapText="1"/>
    </xf>
    <xf numFmtId="177" fontId="11" fillId="0" borderId="11" xfId="15" applyNumberFormat="1" applyFont="1" applyFill="1" applyBorder="1" applyAlignment="1">
      <alignment horizontal="center" vertical="center" wrapText="1"/>
    </xf>
    <xf numFmtId="166" fontId="12" fillId="0" borderId="44" xfId="17" applyFont="1" applyFill="1" applyBorder="1" applyAlignment="1">
      <alignment vertical="center" wrapText="1"/>
    </xf>
    <xf numFmtId="166" fontId="11" fillId="0" borderId="30" xfId="17" applyFont="1" applyFill="1" applyBorder="1" applyAlignment="1">
      <alignment vertical="center" wrapText="1"/>
    </xf>
    <xf numFmtId="43" fontId="22" fillId="0" borderId="0" xfId="15" applyFont="1" applyFill="1" applyAlignment="1">
      <alignment vertical="center" wrapText="1"/>
    </xf>
    <xf numFmtId="43" fontId="13" fillId="0" borderId="0" xfId="15" applyFont="1" applyFill="1" applyAlignment="1">
      <alignment horizontal="left" vertical="center" wrapText="1"/>
    </xf>
    <xf numFmtId="43" fontId="16" fillId="0" borderId="0" xfId="15" applyFont="1" applyFill="1" applyAlignment="1">
      <alignment horizontal="center" vertical="center" wrapText="1"/>
    </xf>
    <xf numFmtId="166" fontId="12" fillId="0" borderId="47" xfId="17" applyFont="1" applyFill="1" applyBorder="1" applyAlignment="1">
      <alignment vertical="center" wrapText="1"/>
    </xf>
    <xf numFmtId="43" fontId="20" fillId="5" borderId="76" xfId="15" applyFont="1" applyFill="1" applyBorder="1" applyAlignment="1">
      <alignment horizontal="center" vertical="center" wrapText="1"/>
    </xf>
    <xf numFmtId="166" fontId="12" fillId="2" borderId="11" xfId="17" applyFont="1" applyFill="1" applyBorder="1" applyAlignment="1">
      <alignment horizontal="center" vertical="center" wrapText="1"/>
    </xf>
    <xf numFmtId="166" fontId="12" fillId="2" borderId="73" xfId="17" applyFont="1" applyFill="1" applyBorder="1" applyAlignment="1">
      <alignment horizontal="center" vertical="center" wrapText="1"/>
    </xf>
    <xf numFmtId="166" fontId="12" fillId="2" borderId="7" xfId="17" applyFont="1" applyFill="1" applyBorder="1" applyAlignment="1">
      <alignment horizontal="center" vertical="center" wrapText="1"/>
    </xf>
    <xf numFmtId="43" fontId="11" fillId="5" borderId="1" xfId="15" applyFont="1" applyFill="1" applyBorder="1" applyAlignment="1">
      <alignment horizontal="center" vertical="center" wrapText="1"/>
    </xf>
    <xf numFmtId="43" fontId="21" fillId="5" borderId="1" xfId="15" applyFont="1" applyFill="1" applyBorder="1" applyAlignment="1">
      <alignment horizontal="center" vertical="center" wrapText="1"/>
    </xf>
    <xf numFmtId="166" fontId="11" fillId="2" borderId="77" xfId="17" applyFont="1" applyFill="1" applyBorder="1" applyAlignment="1">
      <alignment vertical="center" wrapText="1"/>
    </xf>
    <xf numFmtId="166" fontId="11" fillId="2" borderId="49" xfId="17" applyFont="1" applyFill="1" applyBorder="1" applyAlignment="1">
      <alignment vertical="center" wrapText="1"/>
    </xf>
    <xf numFmtId="166" fontId="11" fillId="2" borderId="32" xfId="17" applyFont="1" applyFill="1" applyBorder="1" applyAlignment="1">
      <alignment vertical="center" wrapText="1"/>
    </xf>
    <xf numFmtId="166" fontId="20" fillId="0" borderId="1" xfId="17" applyFont="1" applyFill="1" applyBorder="1" applyAlignment="1">
      <alignment vertical="center" wrapText="1"/>
    </xf>
    <xf numFmtId="166" fontId="12" fillId="2" borderId="19" xfId="17" applyFont="1" applyFill="1" applyBorder="1" applyAlignment="1">
      <alignment horizontal="center" vertical="center" wrapText="1"/>
    </xf>
    <xf numFmtId="166" fontId="11" fillId="2" borderId="41" xfId="17" applyFont="1" applyFill="1" applyBorder="1" applyAlignment="1">
      <alignment vertical="center" wrapText="1"/>
    </xf>
    <xf numFmtId="177" fontId="11" fillId="0" borderId="1" xfId="15" applyNumberFormat="1" applyFont="1" applyFill="1" applyBorder="1" applyAlignment="1">
      <alignment horizontal="center" vertical="center" wrapText="1"/>
    </xf>
    <xf numFmtId="43" fontId="20" fillId="0" borderId="34" xfId="15" applyFont="1" applyFill="1" applyBorder="1" applyAlignment="1">
      <alignment horizontal="center" vertical="center" wrapText="1"/>
    </xf>
    <xf numFmtId="166" fontId="12" fillId="0" borderId="44" xfId="17" applyFont="1" applyFill="1" applyBorder="1" applyAlignment="1">
      <alignment horizontal="center" vertical="center" wrapText="1"/>
    </xf>
    <xf numFmtId="166" fontId="11" fillId="0" borderId="32" xfId="17" applyFont="1" applyFill="1" applyBorder="1" applyAlignment="1">
      <alignment vertical="center" wrapText="1"/>
    </xf>
    <xf numFmtId="43" fontId="9" fillId="0" borderId="0" xfId="15" applyFont="1" applyFill="1" applyBorder="1" applyAlignment="1">
      <alignment vertical="center" wrapText="1"/>
    </xf>
    <xf numFmtId="43" fontId="9" fillId="0" borderId="0" xfId="15" applyFont="1" applyFill="1" applyAlignment="1">
      <alignment vertical="center" wrapText="1"/>
    </xf>
    <xf numFmtId="166" fontId="11" fillId="0" borderId="77" xfId="17" applyFont="1" applyFill="1" applyBorder="1" applyAlignment="1">
      <alignment vertical="center" wrapText="1"/>
    </xf>
    <xf numFmtId="43" fontId="20" fillId="0" borderId="44" xfId="15" applyFont="1" applyFill="1" applyBorder="1" applyAlignment="1">
      <alignment horizontal="center" vertical="center" wrapText="1"/>
    </xf>
    <xf numFmtId="0" fontId="29" fillId="2" borderId="0" xfId="26" applyFont="1" applyFill="1"/>
    <xf numFmtId="0" fontId="29" fillId="0" borderId="0" xfId="26" applyFont="1"/>
    <xf numFmtId="0" fontId="28" fillId="0" borderId="0" xfId="26"/>
    <xf numFmtId="0" fontId="31" fillId="6" borderId="80" xfId="26" applyFont="1" applyFill="1" applyBorder="1" applyAlignment="1">
      <alignment vertical="center"/>
    </xf>
    <xf numFmtId="0" fontId="31" fillId="6" borderId="83" xfId="26" applyFont="1" applyFill="1" applyBorder="1" applyAlignment="1">
      <alignment vertical="center"/>
    </xf>
    <xf numFmtId="0" fontId="32" fillId="2" borderId="63" xfId="26" applyFont="1" applyFill="1" applyBorder="1" applyAlignment="1">
      <alignment vertical="center"/>
    </xf>
    <xf numFmtId="0" fontId="33" fillId="0" borderId="92" xfId="26" applyFont="1" applyBorder="1" applyAlignment="1">
      <alignment horizontal="center" vertical="center" wrapText="1"/>
    </xf>
    <xf numFmtId="180" fontId="36" fillId="0" borderId="92" xfId="26" applyNumberFormat="1" applyFont="1" applyBorder="1" applyAlignment="1">
      <alignment horizontal="center" vertical="center" wrapText="1"/>
    </xf>
    <xf numFmtId="0" fontId="26" fillId="9" borderId="92" xfId="26" applyFont="1" applyFill="1" applyBorder="1" applyAlignment="1">
      <alignment horizontal="center" vertical="center" wrapText="1"/>
    </xf>
    <xf numFmtId="0" fontId="33" fillId="0" borderId="88" xfId="26" applyFont="1" applyBorder="1" applyAlignment="1">
      <alignment vertical="center"/>
    </xf>
    <xf numFmtId="0" fontId="33" fillId="0" borderId="89" xfId="26" applyFont="1" applyBorder="1" applyAlignment="1">
      <alignment vertical="center"/>
    </xf>
    <xf numFmtId="2" fontId="33" fillId="0" borderId="89" xfId="26" applyNumberFormat="1" applyFont="1" applyBorder="1" applyAlignment="1">
      <alignment horizontal="center" vertical="center" textRotation="90"/>
    </xf>
    <xf numFmtId="0" fontId="34" fillId="0" borderId="89" xfId="26" applyFont="1" applyBorder="1" applyAlignment="1">
      <alignment horizontal="center" vertical="center" textRotation="90"/>
    </xf>
    <xf numFmtId="0" fontId="40" fillId="0" borderId="89" xfId="26" applyFont="1" applyBorder="1" applyAlignment="1">
      <alignment horizontal="center" vertical="center"/>
    </xf>
    <xf numFmtId="0" fontId="33" fillId="0" borderId="89" xfId="26" applyFont="1" applyBorder="1" applyAlignment="1">
      <alignment horizontal="center" vertical="center" textRotation="90"/>
    </xf>
    <xf numFmtId="0" fontId="33" fillId="0" borderId="89" xfId="26" applyFont="1" applyBorder="1" applyAlignment="1">
      <alignment horizontal="center" vertical="center"/>
    </xf>
    <xf numFmtId="2" fontId="43" fillId="0" borderId="89" xfId="26" applyNumberFormat="1" applyFont="1" applyBorder="1" applyAlignment="1">
      <alignment horizontal="left" vertical="center" textRotation="180"/>
    </xf>
    <xf numFmtId="2" fontId="33" fillId="0" borderId="89" xfId="26" applyNumberFormat="1" applyFont="1" applyBorder="1" applyAlignment="1">
      <alignment horizontal="center" vertical="center" textRotation="180"/>
    </xf>
    <xf numFmtId="0" fontId="36" fillId="0" borderId="90" xfId="26" applyFont="1" applyBorder="1" applyAlignment="1">
      <alignment vertical="center"/>
    </xf>
    <xf numFmtId="0" fontId="34" fillId="0" borderId="92" xfId="26" applyFont="1" applyBorder="1" applyAlignment="1">
      <alignment horizontal="center" vertical="center"/>
    </xf>
    <xf numFmtId="4" fontId="40" fillId="0" borderId="92" xfId="26" applyNumberFormat="1" applyFont="1" applyBorder="1" applyAlignment="1">
      <alignment horizontal="center" vertical="center"/>
    </xf>
    <xf numFmtId="0" fontId="40" fillId="0" borderId="92" xfId="26" applyFont="1" applyBorder="1" applyAlignment="1">
      <alignment vertical="center"/>
    </xf>
    <xf numFmtId="176" fontId="40" fillId="0" borderId="83" xfId="26" applyNumberFormat="1" applyFont="1" applyBorder="1" applyAlignment="1">
      <alignment vertical="center"/>
    </xf>
    <xf numFmtId="0" fontId="33" fillId="0" borderId="15" xfId="26" applyFont="1" applyBorder="1" applyAlignment="1">
      <alignment vertical="center"/>
    </xf>
    <xf numFmtId="0" fontId="34" fillId="0" borderId="81" xfId="26" applyFont="1" applyBorder="1" applyAlignment="1">
      <alignment vertical="center"/>
    </xf>
    <xf numFmtId="4" fontId="40" fillId="0" borderId="92" xfId="26" applyNumberFormat="1" applyFont="1" applyBorder="1" applyAlignment="1">
      <alignment vertical="center"/>
    </xf>
    <xf numFmtId="176" fontId="40" fillId="0" borderId="92" xfId="26" applyNumberFormat="1" applyFont="1" applyBorder="1" applyAlignment="1">
      <alignment horizontal="right" vertical="center"/>
    </xf>
    <xf numFmtId="176" fontId="40" fillId="0" borderId="92" xfId="26" applyNumberFormat="1" applyFont="1" applyBorder="1" applyAlignment="1">
      <alignment vertical="center"/>
    </xf>
    <xf numFmtId="176" fontId="40" fillId="0" borderId="92" xfId="26" applyNumberFormat="1" applyFont="1" applyBorder="1" applyAlignment="1">
      <alignment horizontal="center" vertical="center"/>
    </xf>
    <xf numFmtId="166" fontId="40" fillId="0" borderId="92" xfId="26" applyNumberFormat="1" applyFont="1" applyBorder="1" applyAlignment="1">
      <alignment vertical="center"/>
    </xf>
    <xf numFmtId="3" fontId="40" fillId="0" borderId="92" xfId="26" applyNumberFormat="1" applyFont="1" applyBorder="1" applyAlignment="1">
      <alignment vertical="center"/>
    </xf>
    <xf numFmtId="3" fontId="40" fillId="0" borderId="83" xfId="26" applyNumberFormat="1" applyFont="1" applyBorder="1" applyAlignment="1">
      <alignment vertical="center"/>
    </xf>
    <xf numFmtId="0" fontId="34" fillId="0" borderId="106" xfId="26" applyFont="1" applyBorder="1" applyAlignment="1">
      <alignment horizontal="center" vertical="center"/>
    </xf>
    <xf numFmtId="0" fontId="40" fillId="0" borderId="106" xfId="26" applyFont="1" applyBorder="1" applyAlignment="1">
      <alignment vertical="center"/>
    </xf>
    <xf numFmtId="4" fontId="40" fillId="0" borderId="106" xfId="26" applyNumberFormat="1" applyFont="1" applyBorder="1" applyAlignment="1">
      <alignment vertical="center"/>
    </xf>
    <xf numFmtId="3" fontId="44" fillId="0" borderId="106" xfId="26" applyNumberFormat="1" applyFont="1" applyBorder="1" applyAlignment="1">
      <alignment vertical="center"/>
    </xf>
    <xf numFmtId="0" fontId="45" fillId="3" borderId="106" xfId="26" applyFont="1" applyFill="1" applyBorder="1" applyAlignment="1">
      <alignment horizontal="right" vertical="center"/>
    </xf>
    <xf numFmtId="0" fontId="28" fillId="2" borderId="0" xfId="26" applyFill="1"/>
    <xf numFmtId="181" fontId="40" fillId="0" borderId="92" xfId="26" applyNumberFormat="1" applyFont="1" applyBorder="1" applyAlignment="1">
      <alignment horizontal="center" vertical="center"/>
    </xf>
    <xf numFmtId="0" fontId="33" fillId="0" borderId="0" xfId="26" applyFont="1" applyAlignment="1">
      <alignment vertical="center"/>
    </xf>
    <xf numFmtId="183" fontId="36" fillId="3" borderId="107" xfId="26" applyNumberFormat="1" applyFont="1" applyFill="1" applyBorder="1" applyAlignment="1">
      <alignment vertical="center"/>
    </xf>
    <xf numFmtId="0" fontId="40" fillId="0" borderId="100" xfId="26" applyFont="1" applyBorder="1" applyAlignment="1">
      <alignment vertical="center"/>
    </xf>
    <xf numFmtId="4" fontId="40" fillId="0" borderId="1" xfId="26" applyNumberFormat="1" applyFont="1" applyBorder="1" applyAlignment="1">
      <alignment vertical="center"/>
    </xf>
    <xf numFmtId="183" fontId="40" fillId="0" borderId="98" xfId="26" applyNumberFormat="1" applyFont="1" applyBorder="1" applyAlignment="1">
      <alignment vertical="center"/>
    </xf>
    <xf numFmtId="181" fontId="40" fillId="0" borderId="102" xfId="26" applyNumberFormat="1" applyFont="1" applyBorder="1" applyAlignment="1">
      <alignment horizontal="center" vertical="center"/>
    </xf>
    <xf numFmtId="0" fontId="12" fillId="0" borderId="0" xfId="26" applyFont="1" applyAlignment="1">
      <alignment vertical="center"/>
    </xf>
    <xf numFmtId="0" fontId="34" fillId="0" borderId="0" xfId="26" applyFont="1" applyAlignment="1">
      <alignment horizontal="center" vertical="center"/>
    </xf>
    <xf numFmtId="0" fontId="40" fillId="0" borderId="0" xfId="26" applyFont="1" applyAlignment="1">
      <alignment vertical="center"/>
    </xf>
    <xf numFmtId="4" fontId="40" fillId="0" borderId="0" xfId="26" applyNumberFormat="1" applyFont="1" applyAlignment="1">
      <alignment vertical="center"/>
    </xf>
    <xf numFmtId="3" fontId="44" fillId="0" borderId="0" xfId="26" applyNumberFormat="1" applyFont="1" applyAlignment="1">
      <alignment vertical="center"/>
    </xf>
    <xf numFmtId="4" fontId="40" fillId="0" borderId="113" xfId="26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66" fontId="7" fillId="4" borderId="1" xfId="1" applyFont="1" applyFill="1" applyBorder="1" applyAlignment="1">
      <alignment horizontal="center" vertical="center"/>
    </xf>
    <xf numFmtId="0" fontId="29" fillId="2" borderId="14" xfId="26" applyFont="1" applyFill="1" applyBorder="1"/>
    <xf numFmtId="0" fontId="2" fillId="0" borderId="11" xfId="0" applyFont="1" applyBorder="1" applyAlignment="1">
      <alignment vertical="center"/>
    </xf>
    <xf numFmtId="0" fontId="52" fillId="3" borderId="34" xfId="0" applyFont="1" applyFill="1" applyBorder="1" applyAlignment="1">
      <alignment horizontal="left" vertical="center" wrapText="1"/>
    </xf>
    <xf numFmtId="0" fontId="55" fillId="0" borderId="0" xfId="26" applyFont="1"/>
    <xf numFmtId="0" fontId="56" fillId="0" borderId="0" xfId="26" applyFont="1"/>
    <xf numFmtId="0" fontId="2" fillId="0" borderId="1" xfId="0" applyFont="1" applyBorder="1" applyAlignment="1">
      <alignment horizontal="center" vertical="center"/>
    </xf>
    <xf numFmtId="3" fontId="40" fillId="0" borderId="106" xfId="26" applyNumberFormat="1" applyFont="1" applyBorder="1" applyAlignment="1">
      <alignment vertical="center"/>
    </xf>
    <xf numFmtId="0" fontId="41" fillId="3" borderId="106" xfId="26" applyFont="1" applyFill="1" applyBorder="1" applyAlignment="1">
      <alignment horizontal="right" vertical="center"/>
    </xf>
    <xf numFmtId="0" fontId="33" fillId="0" borderId="108" xfId="26" applyFont="1" applyBorder="1" applyAlignment="1">
      <alignment horizontal="center" vertical="center" wrapText="1"/>
    </xf>
    <xf numFmtId="0" fontId="34" fillId="0" borderId="0" xfId="26" applyFont="1" applyAlignment="1">
      <alignment vertical="center"/>
    </xf>
    <xf numFmtId="0" fontId="40" fillId="0" borderId="0" xfId="26" applyFont="1" applyAlignment="1">
      <alignment horizontal="center" vertical="center" textRotation="180"/>
    </xf>
    <xf numFmtId="0" fontId="34" fillId="0" borderId="1" xfId="26" applyFont="1" applyBorder="1" applyAlignment="1">
      <alignment vertical="center"/>
    </xf>
    <xf numFmtId="181" fontId="40" fillId="0" borderId="1" xfId="26" applyNumberFormat="1" applyFont="1" applyBorder="1" applyAlignment="1">
      <alignment horizontal="center" vertical="center"/>
    </xf>
    <xf numFmtId="0" fontId="59" fillId="2" borderId="0" xfId="26" applyFont="1" applyFill="1"/>
    <xf numFmtId="0" fontId="27" fillId="0" borderId="0" xfId="26" applyFont="1"/>
    <xf numFmtId="181" fontId="40" fillId="0" borderId="1" xfId="26" applyNumberFormat="1" applyFont="1" applyBorder="1" applyAlignment="1">
      <alignment vertical="center"/>
    </xf>
    <xf numFmtId="0" fontId="40" fillId="0" borderId="1" xfId="26" applyFont="1" applyBorder="1" applyAlignment="1">
      <alignment vertical="center"/>
    </xf>
    <xf numFmtId="0" fontId="40" fillId="0" borderId="1" xfId="26" applyFont="1" applyBorder="1" applyAlignment="1">
      <alignment vertical="center" wrapText="1"/>
    </xf>
    <xf numFmtId="0" fontId="34" fillId="0" borderId="102" xfId="26" applyFont="1" applyBorder="1" applyAlignment="1">
      <alignment horizontal="center" vertical="center"/>
    </xf>
    <xf numFmtId="0" fontId="40" fillId="0" borderId="102" xfId="26" applyFont="1" applyBorder="1" applyAlignment="1">
      <alignment vertical="center"/>
    </xf>
    <xf numFmtId="4" fontId="40" fillId="0" borderId="102" xfId="26" applyNumberFormat="1" applyFont="1" applyBorder="1" applyAlignment="1">
      <alignment horizontal="center" vertical="center"/>
    </xf>
    <xf numFmtId="0" fontId="61" fillId="0" borderId="8" xfId="5" applyFont="1" applyBorder="1" applyAlignment="1">
      <alignment horizontal="left" vertical="center"/>
    </xf>
    <xf numFmtId="170" fontId="31" fillId="0" borderId="9" xfId="5" applyNumberFormat="1" applyFont="1" applyBorder="1" applyAlignment="1">
      <alignment horizontal="center" vertical="center"/>
    </xf>
    <xf numFmtId="0" fontId="61" fillId="0" borderId="16" xfId="6" applyFont="1" applyBorder="1" applyAlignment="1">
      <alignment vertical="center"/>
    </xf>
    <xf numFmtId="0" fontId="61" fillId="0" borderId="5" xfId="6" applyFont="1" applyBorder="1" applyAlignment="1">
      <alignment vertical="center"/>
    </xf>
    <xf numFmtId="17" fontId="61" fillId="0" borderId="5" xfId="6" applyNumberFormat="1" applyFont="1" applyBorder="1" applyAlignment="1">
      <alignment horizontal="left" vertical="center"/>
    </xf>
    <xf numFmtId="0" fontId="38" fillId="0" borderId="0" xfId="5" applyFont="1" applyAlignment="1">
      <alignment vertical="center"/>
    </xf>
    <xf numFmtId="4" fontId="32" fillId="0" borderId="0" xfId="5" applyNumberFormat="1" applyFont="1" applyAlignment="1">
      <alignment horizontal="center" vertical="center"/>
    </xf>
    <xf numFmtId="4" fontId="32" fillId="0" borderId="0" xfId="5" applyNumberFormat="1" applyFont="1" applyAlignment="1">
      <alignment vertical="center"/>
    </xf>
    <xf numFmtId="10" fontId="32" fillId="0" borderId="0" xfId="5" applyNumberFormat="1" applyFont="1" applyAlignment="1">
      <alignment vertical="center"/>
    </xf>
    <xf numFmtId="171" fontId="32" fillId="0" borderId="0" xfId="5" applyNumberFormat="1" applyFont="1" applyAlignment="1">
      <alignment vertical="center"/>
    </xf>
    <xf numFmtId="0" fontId="1" fillId="0" borderId="0" xfId="0" applyFont="1"/>
    <xf numFmtId="0" fontId="60" fillId="0" borderId="13" xfId="5" applyFont="1" applyBorder="1" applyAlignment="1">
      <alignment horizontal="centerContinuous" vertical="center"/>
    </xf>
    <xf numFmtId="4" fontId="60" fillId="0" borderId="40" xfId="5" applyNumberFormat="1" applyFont="1" applyBorder="1" applyAlignment="1">
      <alignment horizontal="center" vertical="center"/>
    </xf>
    <xf numFmtId="10" fontId="60" fillId="0" borderId="41" xfId="5" applyNumberFormat="1" applyFont="1" applyBorder="1" applyAlignment="1">
      <alignment horizontal="center" vertical="center"/>
    </xf>
    <xf numFmtId="171" fontId="60" fillId="0" borderId="42" xfId="5" applyNumberFormat="1" applyFont="1" applyBorder="1" applyAlignment="1">
      <alignment horizontal="center" vertical="center"/>
    </xf>
    <xf numFmtId="4" fontId="61" fillId="0" borderId="16" xfId="7" applyNumberFormat="1" applyFont="1" applyBorder="1" applyAlignment="1">
      <alignment horizontal="left" vertical="center" wrapText="1"/>
    </xf>
    <xf numFmtId="2" fontId="61" fillId="0" borderId="35" xfId="7" applyNumberFormat="1" applyFont="1" applyBorder="1" applyAlignment="1">
      <alignment horizontal="center" vertical="center"/>
    </xf>
    <xf numFmtId="4" fontId="61" fillId="0" borderId="35" xfId="7" applyNumberFormat="1" applyFont="1" applyBorder="1" applyAlignment="1">
      <alignment horizontal="center" vertical="center"/>
    </xf>
    <xf numFmtId="10" fontId="61" fillId="0" borderId="35" xfId="7" applyNumberFormat="1" applyFont="1" applyBorder="1" applyAlignment="1">
      <alignment horizontal="center" vertical="center"/>
    </xf>
    <xf numFmtId="171" fontId="61" fillId="0" borderId="39" xfId="7" applyNumberFormat="1" applyFont="1" applyBorder="1" applyAlignment="1">
      <alignment vertical="center"/>
    </xf>
    <xf numFmtId="4" fontId="61" fillId="0" borderId="11" xfId="7" applyNumberFormat="1" applyFont="1" applyBorder="1" applyAlignment="1">
      <alignment horizontal="left" vertical="center" wrapText="1"/>
    </xf>
    <xf numFmtId="2" fontId="61" fillId="0" borderId="1" xfId="7" applyNumberFormat="1" applyFont="1" applyBorder="1" applyAlignment="1">
      <alignment horizontal="center" vertical="center"/>
    </xf>
    <xf numFmtId="4" fontId="61" fillId="0" borderId="1" xfId="7" applyNumberFormat="1" applyFont="1" applyBorder="1" applyAlignment="1">
      <alignment horizontal="center" vertical="center"/>
    </xf>
    <xf numFmtId="10" fontId="61" fillId="0" borderId="1" xfId="7" applyNumberFormat="1" applyFont="1" applyBorder="1" applyAlignment="1">
      <alignment horizontal="center" vertical="center"/>
    </xf>
    <xf numFmtId="171" fontId="61" fillId="0" borderId="6" xfId="7" applyNumberFormat="1" applyFont="1" applyBorder="1" applyAlignment="1">
      <alignment vertical="center"/>
    </xf>
    <xf numFmtId="0" fontId="61" fillId="0" borderId="8" xfId="5" applyFont="1" applyBorder="1" applyAlignment="1">
      <alignment horizontal="left" vertical="center" wrapText="1"/>
    </xf>
    <xf numFmtId="4" fontId="61" fillId="0" borderId="9" xfId="5" applyNumberFormat="1" applyFont="1" applyBorder="1" applyAlignment="1">
      <alignment horizontal="center" vertical="center"/>
    </xf>
    <xf numFmtId="2" fontId="61" fillId="0" borderId="9" xfId="5" applyNumberFormat="1" applyFont="1" applyBorder="1" applyAlignment="1">
      <alignment horizontal="center" vertical="center"/>
    </xf>
    <xf numFmtId="4" fontId="61" fillId="0" borderId="9" xfId="5" applyNumberFormat="1" applyFont="1" applyBorder="1" applyAlignment="1">
      <alignment vertical="center"/>
    </xf>
    <xf numFmtId="10" fontId="61" fillId="0" borderId="9" xfId="7" applyNumberFormat="1" applyFont="1" applyBorder="1" applyAlignment="1">
      <alignment horizontal="center" vertical="center"/>
    </xf>
    <xf numFmtId="171" fontId="1" fillId="0" borderId="10" xfId="0" applyNumberFormat="1" applyFont="1" applyBorder="1"/>
    <xf numFmtId="0" fontId="61" fillId="0" borderId="0" xfId="5" applyFont="1" applyAlignment="1">
      <alignment vertical="center"/>
    </xf>
    <xf numFmtId="4" fontId="61" fillId="0" borderId="0" xfId="5" applyNumberFormat="1" applyFont="1" applyAlignment="1">
      <alignment horizontal="center" vertical="center"/>
    </xf>
    <xf numFmtId="4" fontId="60" fillId="0" borderId="0" xfId="5" applyNumberFormat="1" applyFont="1" applyAlignment="1">
      <alignment vertical="center"/>
    </xf>
    <xf numFmtId="4" fontId="60" fillId="0" borderId="0" xfId="5" quotePrefix="1" applyNumberFormat="1" applyFont="1" applyAlignment="1">
      <alignment horizontal="left" vertical="center"/>
    </xf>
    <xf numFmtId="10" fontId="60" fillId="0" borderId="0" xfId="5" quotePrefix="1" applyNumberFormat="1" applyFont="1" applyAlignment="1">
      <alignment horizontal="left" vertical="center"/>
    </xf>
    <xf numFmtId="171" fontId="61" fillId="0" borderId="0" xfId="5" applyNumberFormat="1" applyFont="1" applyAlignment="1">
      <alignment vertical="center"/>
    </xf>
    <xf numFmtId="4" fontId="62" fillId="0" borderId="32" xfId="5" applyNumberFormat="1" applyFont="1" applyBorder="1" applyAlignment="1">
      <alignment vertical="center"/>
    </xf>
    <xf numFmtId="0" fontId="60" fillId="0" borderId="27" xfId="5" applyFont="1" applyBorder="1" applyAlignment="1">
      <alignment horizontal="center" vertical="center"/>
    </xf>
    <xf numFmtId="0" fontId="60" fillId="0" borderId="30" xfId="9" applyFont="1" applyBorder="1" applyAlignment="1">
      <alignment horizontal="center" vertical="center"/>
    </xf>
    <xf numFmtId="4" fontId="60" fillId="0" borderId="30" xfId="9" applyNumberFormat="1" applyFont="1" applyBorder="1" applyAlignment="1">
      <alignment horizontal="center" vertical="center"/>
    </xf>
    <xf numFmtId="4" fontId="60" fillId="0" borderId="30" xfId="9" quotePrefix="1" applyNumberFormat="1" applyFont="1" applyBorder="1" applyAlignment="1">
      <alignment horizontal="center" vertical="center"/>
    </xf>
    <xf numFmtId="10" fontId="60" fillId="0" borderId="31" xfId="9" applyNumberFormat="1" applyFont="1" applyBorder="1" applyAlignment="1">
      <alignment horizontal="center" vertical="center"/>
    </xf>
    <xf numFmtId="171" fontId="60" fillId="0" borderId="28" xfId="9" applyNumberFormat="1" applyFont="1" applyBorder="1" applyAlignment="1">
      <alignment horizontal="center" vertical="center"/>
    </xf>
    <xf numFmtId="0" fontId="61" fillId="0" borderId="16" xfId="5" applyFont="1" applyBorder="1" applyAlignment="1">
      <alignment horizontal="left" vertical="center"/>
    </xf>
    <xf numFmtId="4" fontId="61" fillId="0" borderId="35" xfId="5" applyNumberFormat="1" applyFont="1" applyBorder="1" applyAlignment="1">
      <alignment horizontal="center" vertical="center"/>
    </xf>
    <xf numFmtId="4" fontId="61" fillId="0" borderId="35" xfId="5" applyNumberFormat="1" applyFont="1" applyBorder="1" applyAlignment="1">
      <alignment vertical="center"/>
    </xf>
    <xf numFmtId="171" fontId="61" fillId="0" borderId="39" xfId="5" applyNumberFormat="1" applyFont="1" applyBorder="1" applyAlignment="1">
      <alignment vertical="center"/>
    </xf>
    <xf numFmtId="0" fontId="32" fillId="0" borderId="8" xfId="5" applyFont="1" applyBorder="1" applyAlignment="1">
      <alignment horizontal="left" vertical="center"/>
    </xf>
    <xf numFmtId="4" fontId="32" fillId="0" borderId="9" xfId="5" applyNumberFormat="1" applyFont="1" applyBorder="1" applyAlignment="1">
      <alignment horizontal="center" vertical="center"/>
    </xf>
    <xf numFmtId="4" fontId="32" fillId="0" borderId="9" xfId="5" applyNumberFormat="1" applyFont="1" applyBorder="1" applyAlignment="1">
      <alignment horizontal="right" vertical="center"/>
    </xf>
    <xf numFmtId="173" fontId="32" fillId="0" borderId="9" xfId="5" applyNumberFormat="1" applyFont="1" applyBorder="1" applyAlignment="1">
      <alignment vertical="center"/>
    </xf>
    <xf numFmtId="10" fontId="32" fillId="0" borderId="24" xfId="5" applyNumberFormat="1" applyFont="1" applyBorder="1" applyAlignment="1">
      <alignment vertical="center"/>
    </xf>
    <xf numFmtId="171" fontId="32" fillId="0" borderId="10" xfId="5" applyNumberFormat="1" applyFont="1" applyBorder="1" applyAlignment="1">
      <alignment vertical="center"/>
    </xf>
    <xf numFmtId="4" fontId="60" fillId="0" borderId="30" xfId="5" applyNumberFormat="1" applyFont="1" applyBorder="1" applyAlignment="1">
      <alignment horizontal="center" vertical="center"/>
    </xf>
    <xf numFmtId="4" fontId="60" fillId="0" borderId="30" xfId="5" quotePrefix="1" applyNumberFormat="1" applyFont="1" applyBorder="1" applyAlignment="1">
      <alignment horizontal="center" vertical="center"/>
    </xf>
    <xf numFmtId="10" fontId="60" fillId="0" borderId="31" xfId="5" applyNumberFormat="1" applyFont="1" applyBorder="1" applyAlignment="1">
      <alignment horizontal="center" vertical="center"/>
    </xf>
    <xf numFmtId="171" fontId="60" fillId="0" borderId="28" xfId="5" applyNumberFormat="1" applyFont="1" applyBorder="1" applyAlignment="1">
      <alignment horizontal="center" vertical="center"/>
    </xf>
    <xf numFmtId="183" fontId="40" fillId="0" borderId="83" xfId="26" applyNumberFormat="1" applyFont="1" applyBorder="1" applyAlignment="1">
      <alignment vertical="center"/>
    </xf>
    <xf numFmtId="9" fontId="5" fillId="0" borderId="1" xfId="2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0" fillId="0" borderId="29" xfId="5" applyFont="1" applyBorder="1" applyAlignment="1">
      <alignment horizontal="centerContinuous" vertical="center"/>
    </xf>
    <xf numFmtId="0" fontId="61" fillId="0" borderId="5" xfId="5" applyFont="1" applyBorder="1" applyAlignment="1">
      <alignment horizontal="left" vertical="center" wrapText="1"/>
    </xf>
    <xf numFmtId="0" fontId="60" fillId="0" borderId="30" xfId="5" applyFont="1" applyBorder="1" applyAlignment="1">
      <alignment horizontal="center" vertical="center"/>
    </xf>
    <xf numFmtId="4" fontId="61" fillId="0" borderId="11" xfId="5" applyNumberFormat="1" applyFont="1" applyBorder="1" applyAlignment="1">
      <alignment horizontal="center" vertical="center"/>
    </xf>
    <xf numFmtId="174" fontId="61" fillId="0" borderId="1" xfId="8" applyNumberFormat="1" applyFont="1" applyFill="1" applyBorder="1" applyAlignment="1">
      <alignment vertical="center"/>
    </xf>
    <xf numFmtId="0" fontId="32" fillId="0" borderId="0" xfId="5" applyFont="1" applyAlignment="1">
      <alignment vertical="center"/>
    </xf>
    <xf numFmtId="171" fontId="38" fillId="0" borderId="27" xfId="5" applyNumberFormat="1" applyFont="1" applyBorder="1" applyAlignment="1">
      <alignment horizontal="center" vertical="center"/>
    </xf>
    <xf numFmtId="0" fontId="35" fillId="0" borderId="28" xfId="5" applyFont="1" applyBorder="1" applyAlignment="1">
      <alignment horizontal="center" vertical="center"/>
    </xf>
    <xf numFmtId="171" fontId="60" fillId="0" borderId="32" xfId="5" applyNumberFormat="1" applyFont="1" applyBorder="1" applyAlignment="1">
      <alignment horizontal="center" vertical="center"/>
    </xf>
    <xf numFmtId="0" fontId="62" fillId="0" borderId="0" xfId="5" applyFont="1" applyAlignment="1">
      <alignment horizontal="center" vertical="center"/>
    </xf>
    <xf numFmtId="10" fontId="61" fillId="0" borderId="1" xfId="5" applyNumberFormat="1" applyFont="1" applyBorder="1" applyAlignment="1">
      <alignment vertical="center"/>
    </xf>
    <xf numFmtId="171" fontId="61" fillId="0" borderId="4" xfId="8" applyNumberFormat="1" applyFont="1" applyFill="1" applyBorder="1" applyAlignment="1">
      <alignment vertical="center"/>
    </xf>
    <xf numFmtId="10" fontId="60" fillId="0" borderId="0" xfId="5" applyNumberFormat="1" applyFont="1" applyAlignment="1">
      <alignment vertical="center"/>
    </xf>
    <xf numFmtId="2" fontId="61" fillId="0" borderId="74" xfId="2" applyNumberFormat="1" applyFont="1" applyFill="1" applyBorder="1" applyAlignment="1">
      <alignment vertical="center"/>
    </xf>
    <xf numFmtId="0" fontId="64" fillId="0" borderId="16" xfId="5" applyFont="1" applyBorder="1" applyAlignment="1">
      <alignment horizontal="left" vertical="center"/>
    </xf>
    <xf numFmtId="0" fontId="64" fillId="0" borderId="8" xfId="5" applyFont="1" applyBorder="1" applyAlignment="1">
      <alignment horizontal="left" vertical="center"/>
    </xf>
    <xf numFmtId="0" fontId="64" fillId="0" borderId="0" xfId="0" applyFont="1"/>
    <xf numFmtId="4" fontId="64" fillId="0" borderId="35" xfId="5" applyNumberFormat="1" applyFont="1" applyBorder="1" applyAlignment="1">
      <alignment horizontal="center" vertical="center"/>
    </xf>
    <xf numFmtId="4" fontId="64" fillId="0" borderId="35" xfId="9" applyNumberFormat="1" applyFont="1" applyBorder="1" applyAlignment="1">
      <alignment vertical="center"/>
    </xf>
    <xf numFmtId="10" fontId="64" fillId="0" borderId="74" xfId="5" applyNumberFormat="1" applyFont="1" applyBorder="1" applyAlignment="1">
      <alignment vertical="center"/>
    </xf>
    <xf numFmtId="171" fontId="64" fillId="0" borderId="39" xfId="5" applyNumberFormat="1" applyFont="1" applyBorder="1" applyAlignment="1">
      <alignment vertical="center"/>
    </xf>
    <xf numFmtId="4" fontId="64" fillId="0" borderId="0" xfId="5" applyNumberFormat="1" applyFont="1" applyAlignment="1">
      <alignment vertical="center"/>
    </xf>
    <xf numFmtId="4" fontId="64" fillId="0" borderId="9" xfId="5" applyNumberFormat="1" applyFont="1" applyBorder="1" applyAlignment="1">
      <alignment horizontal="center" vertical="center"/>
    </xf>
    <xf numFmtId="173" fontId="64" fillId="0" borderId="9" xfId="5" applyNumberFormat="1" applyFont="1" applyBorder="1" applyAlignment="1">
      <alignment vertical="center"/>
    </xf>
    <xf numFmtId="10" fontId="64" fillId="0" borderId="24" xfId="5" applyNumberFormat="1" applyFont="1" applyBorder="1" applyAlignment="1">
      <alignment vertical="center"/>
    </xf>
    <xf numFmtId="171" fontId="64" fillId="0" borderId="10" xfId="5" applyNumberFormat="1" applyFont="1" applyBorder="1" applyAlignment="1">
      <alignment vertical="center"/>
    </xf>
    <xf numFmtId="0" fontId="25" fillId="0" borderId="0" xfId="5" applyFont="1" applyAlignment="1">
      <alignment vertical="center"/>
    </xf>
    <xf numFmtId="4" fontId="62" fillId="0" borderId="0" xfId="5" applyNumberFormat="1" applyFont="1" applyAlignment="1">
      <alignment vertical="center"/>
    </xf>
    <xf numFmtId="10" fontId="62" fillId="0" borderId="0" xfId="5" applyNumberFormat="1" applyFont="1" applyAlignment="1">
      <alignment vertical="center"/>
    </xf>
    <xf numFmtId="3" fontId="38" fillId="0" borderId="32" xfId="5" applyNumberFormat="1" applyFont="1" applyBorder="1" applyAlignment="1">
      <alignment vertical="center"/>
    </xf>
    <xf numFmtId="3" fontId="38" fillId="0" borderId="0" xfId="5" applyNumberFormat="1" applyFont="1" applyAlignment="1">
      <alignment vertical="center"/>
    </xf>
    <xf numFmtId="0" fontId="32" fillId="0" borderId="15" xfId="5" applyFont="1" applyBorder="1" applyAlignment="1">
      <alignment vertical="center"/>
    </xf>
    <xf numFmtId="0" fontId="32" fillId="0" borderId="0" xfId="5" applyFont="1" applyAlignment="1">
      <alignment horizontal="center" vertical="center"/>
    </xf>
    <xf numFmtId="0" fontId="65" fillId="0" borderId="16" xfId="13" applyFont="1" applyBorder="1" applyAlignment="1">
      <alignment vertical="center"/>
    </xf>
    <xf numFmtId="0" fontId="65" fillId="0" borderId="5" xfId="13" applyFont="1" applyBorder="1" applyAlignment="1">
      <alignment vertical="center"/>
    </xf>
    <xf numFmtId="0" fontId="65" fillId="0" borderId="8" xfId="7" applyFont="1" applyBorder="1" applyAlignment="1">
      <alignment horizontal="left" vertical="center"/>
    </xf>
    <xf numFmtId="0" fontId="58" fillId="0" borderId="0" xfId="7" applyFont="1" applyAlignment="1">
      <alignment vertical="center"/>
    </xf>
    <xf numFmtId="0" fontId="2" fillId="0" borderId="0" xfId="7" applyFont="1" applyAlignment="1">
      <alignment horizontal="center" vertical="center"/>
    </xf>
    <xf numFmtId="0" fontId="2" fillId="0" borderId="0" xfId="7" applyFont="1" applyAlignment="1">
      <alignment vertical="center"/>
    </xf>
    <xf numFmtId="0" fontId="58" fillId="0" borderId="27" xfId="7" applyFont="1" applyBorder="1" applyAlignment="1">
      <alignment horizontal="center" vertical="center"/>
    </xf>
    <xf numFmtId="4" fontId="2" fillId="0" borderId="0" xfId="7" applyNumberFormat="1" applyFont="1" applyAlignment="1">
      <alignment vertical="center"/>
    </xf>
    <xf numFmtId="4" fontId="2" fillId="0" borderId="0" xfId="7" applyNumberFormat="1" applyFont="1" applyAlignment="1">
      <alignment horizontal="center" vertical="center"/>
    </xf>
    <xf numFmtId="0" fontId="61" fillId="0" borderId="16" xfId="7" applyFont="1" applyBorder="1" applyAlignment="1">
      <alignment horizontal="left" vertical="center" wrapText="1"/>
    </xf>
    <xf numFmtId="0" fontId="2" fillId="0" borderId="15" xfId="7" applyFont="1" applyBorder="1" applyAlignment="1">
      <alignment vertical="center"/>
    </xf>
    <xf numFmtId="0" fontId="8" fillId="0" borderId="0" xfId="7" applyFont="1" applyAlignment="1">
      <alignment vertical="center"/>
    </xf>
    <xf numFmtId="4" fontId="7" fillId="0" borderId="0" xfId="7" applyNumberFormat="1" applyFont="1" applyAlignment="1">
      <alignment vertical="center"/>
    </xf>
    <xf numFmtId="0" fontId="35" fillId="0" borderId="32" xfId="5" applyFont="1" applyBorder="1" applyAlignment="1">
      <alignment horizontal="center" vertical="center"/>
    </xf>
    <xf numFmtId="0" fontId="68" fillId="0" borderId="55" xfId="5" applyFont="1" applyBorder="1" applyAlignment="1">
      <alignment horizontal="center" vertical="center"/>
    </xf>
    <xf numFmtId="0" fontId="68" fillId="0" borderId="0" xfId="5" applyFont="1" applyAlignment="1">
      <alignment horizontal="center" vertical="center"/>
    </xf>
    <xf numFmtId="0" fontId="68" fillId="0" borderId="61" xfId="5" applyFont="1" applyBorder="1" applyAlignment="1">
      <alignment horizontal="center" vertical="center"/>
    </xf>
    <xf numFmtId="0" fontId="32" fillId="0" borderId="55" xfId="5" applyFont="1" applyBorder="1" applyAlignment="1">
      <alignment vertical="center"/>
    </xf>
    <xf numFmtId="3" fontId="32" fillId="0" borderId="0" xfId="5" applyNumberFormat="1" applyFont="1" applyAlignment="1">
      <alignment vertical="center"/>
    </xf>
    <xf numFmtId="175" fontId="38" fillId="0" borderId="27" xfId="5" applyNumberFormat="1" applyFont="1" applyBorder="1" applyAlignment="1">
      <alignment horizontal="center" vertical="center"/>
    </xf>
    <xf numFmtId="3" fontId="35" fillId="0" borderId="60" xfId="5" applyNumberFormat="1" applyFont="1" applyBorder="1" applyAlignment="1">
      <alignment horizontal="center" vertical="center"/>
    </xf>
    <xf numFmtId="3" fontId="58" fillId="0" borderId="28" xfId="7" applyNumberFormat="1" applyFont="1" applyBorder="1" applyAlignment="1">
      <alignment horizontal="center" vertical="center"/>
    </xf>
    <xf numFmtId="4" fontId="61" fillId="0" borderId="35" xfId="9" applyNumberFormat="1" applyFont="1" applyBorder="1" applyAlignment="1">
      <alignment vertical="center"/>
    </xf>
    <xf numFmtId="0" fontId="61" fillId="0" borderId="3" xfId="7" applyFont="1" applyBorder="1" applyAlignment="1">
      <alignment horizontal="left" vertical="center"/>
    </xf>
    <xf numFmtId="3" fontId="60" fillId="0" borderId="30" xfId="5" applyNumberFormat="1" applyFont="1" applyBorder="1" applyAlignment="1">
      <alignment horizontal="center" vertical="center"/>
    </xf>
    <xf numFmtId="175" fontId="60" fillId="0" borderId="32" xfId="5" applyNumberFormat="1" applyFont="1" applyBorder="1" applyAlignment="1">
      <alignment horizontal="center" vertical="center"/>
    </xf>
    <xf numFmtId="3" fontId="62" fillId="0" borderId="61" xfId="5" applyNumberFormat="1" applyFont="1" applyBorder="1" applyAlignment="1">
      <alignment horizontal="center" vertical="center"/>
    </xf>
    <xf numFmtId="3" fontId="61" fillId="0" borderId="1" xfId="7" applyNumberFormat="1" applyFont="1" applyBorder="1" applyAlignment="1">
      <alignment horizontal="center" vertical="center"/>
    </xf>
    <xf numFmtId="10" fontId="61" fillId="0" borderId="7" xfId="7" applyNumberFormat="1" applyFont="1" applyBorder="1" applyAlignment="1">
      <alignment vertical="center"/>
    </xf>
    <xf numFmtId="175" fontId="61" fillId="0" borderId="6" xfId="8" applyNumberFormat="1" applyFont="1" applyFill="1" applyBorder="1" applyAlignment="1">
      <alignment vertical="center"/>
    </xf>
    <xf numFmtId="3" fontId="32" fillId="0" borderId="61" xfId="5" applyNumberFormat="1" applyFont="1" applyBorder="1" applyAlignment="1">
      <alignment vertical="center"/>
    </xf>
    <xf numFmtId="3" fontId="61" fillId="0" borderId="9" xfId="5" applyNumberFormat="1" applyFont="1" applyBorder="1" applyAlignment="1">
      <alignment horizontal="center" vertical="center"/>
    </xf>
    <xf numFmtId="10" fontId="61" fillId="0" borderId="24" xfId="5" applyNumberFormat="1" applyFont="1" applyBorder="1" applyAlignment="1">
      <alignment vertical="center"/>
    </xf>
    <xf numFmtId="175" fontId="61" fillId="0" borderId="10" xfId="8" applyNumberFormat="1" applyFont="1" applyFill="1" applyBorder="1" applyAlignment="1">
      <alignment vertical="center"/>
    </xf>
    <xf numFmtId="3" fontId="60" fillId="0" borderId="0" xfId="5" applyNumberFormat="1" applyFont="1" applyAlignment="1">
      <alignment vertical="center"/>
    </xf>
    <xf numFmtId="175" fontId="61" fillId="0" borderId="0" xfId="5" applyNumberFormat="1" applyFont="1" applyAlignment="1">
      <alignment vertical="center"/>
    </xf>
    <xf numFmtId="3" fontId="62" fillId="0" borderId="62" xfId="5" applyNumberFormat="1" applyFont="1" applyBorder="1" applyAlignment="1">
      <alignment vertical="center"/>
    </xf>
    <xf numFmtId="174" fontId="61" fillId="0" borderId="9" xfId="8" applyNumberFormat="1" applyFont="1" applyFill="1" applyBorder="1" applyAlignment="1">
      <alignment vertical="center"/>
    </xf>
    <xf numFmtId="0" fontId="60" fillId="0" borderId="27" xfId="5" applyFont="1" applyBorder="1" applyAlignment="1">
      <alignment horizontal="centerContinuous" vertical="center"/>
    </xf>
    <xf numFmtId="0" fontId="61" fillId="0" borderId="33" xfId="7" applyFont="1" applyBorder="1" applyAlignment="1">
      <alignment horizontal="left" vertical="center" wrapText="1"/>
    </xf>
    <xf numFmtId="0" fontId="1" fillId="0" borderId="34" xfId="0" applyFont="1" applyBorder="1" applyAlignment="1">
      <alignment horizontal="center" vertical="center"/>
    </xf>
    <xf numFmtId="2" fontId="61" fillId="0" borderId="34" xfId="7" applyNumberFormat="1" applyFont="1" applyBorder="1" applyAlignment="1">
      <alignment horizontal="center" vertical="center"/>
    </xf>
    <xf numFmtId="3" fontId="61" fillId="0" borderId="34" xfId="7" applyNumberFormat="1" applyFont="1" applyBorder="1" applyAlignment="1">
      <alignment horizontal="center" vertical="center"/>
    </xf>
    <xf numFmtId="175" fontId="60" fillId="0" borderId="28" xfId="5" applyNumberFormat="1" applyFont="1" applyBorder="1" applyAlignment="1">
      <alignment horizontal="center" vertical="center"/>
    </xf>
    <xf numFmtId="10" fontId="61" fillId="0" borderId="34" xfId="7" applyNumberFormat="1" applyFont="1" applyBorder="1" applyAlignment="1">
      <alignment horizontal="center" vertical="center"/>
    </xf>
    <xf numFmtId="175" fontId="61" fillId="0" borderId="36" xfId="7" applyNumberFormat="1" applyFont="1" applyBorder="1" applyAlignment="1">
      <alignment vertical="center"/>
    </xf>
    <xf numFmtId="175" fontId="61" fillId="0" borderId="10" xfId="7" applyNumberFormat="1" applyFont="1" applyBorder="1" applyAlignment="1">
      <alignment vertical="center"/>
    </xf>
    <xf numFmtId="3" fontId="32" fillId="0" borderId="32" xfId="5" applyNumberFormat="1" applyFont="1" applyBorder="1" applyAlignment="1">
      <alignment vertical="center"/>
    </xf>
    <xf numFmtId="3" fontId="60" fillId="0" borderId="0" xfId="5" quotePrefix="1" applyNumberFormat="1" applyFont="1" applyAlignment="1">
      <alignment horizontal="left" vertical="center"/>
    </xf>
    <xf numFmtId="175" fontId="32" fillId="0" borderId="0" xfId="5" applyNumberFormat="1" applyFont="1" applyAlignment="1">
      <alignment vertical="center"/>
    </xf>
    <xf numFmtId="3" fontId="60" fillId="0" borderId="30" xfId="9" quotePrefix="1" applyNumberFormat="1" applyFont="1" applyBorder="1" applyAlignment="1">
      <alignment horizontal="center" vertical="center"/>
    </xf>
    <xf numFmtId="175" fontId="60" fillId="0" borderId="28" xfId="9" applyNumberFormat="1" applyFont="1" applyBorder="1" applyAlignment="1">
      <alignment horizontal="center" vertical="center"/>
    </xf>
    <xf numFmtId="3" fontId="61" fillId="0" borderId="35" xfId="5" applyNumberFormat="1" applyFont="1" applyBorder="1" applyAlignment="1">
      <alignment vertical="center"/>
    </xf>
    <xf numFmtId="175" fontId="61" fillId="0" borderId="39" xfId="5" applyNumberFormat="1" applyFont="1" applyBorder="1" applyAlignment="1">
      <alignment vertical="center"/>
    </xf>
    <xf numFmtId="3" fontId="32" fillId="0" borderId="9" xfId="5" applyNumberFormat="1" applyFont="1" applyBorder="1" applyAlignment="1">
      <alignment vertical="center"/>
    </xf>
    <xf numFmtId="175" fontId="32" fillId="0" borderId="10" xfId="5" applyNumberFormat="1" applyFont="1" applyBorder="1" applyAlignment="1">
      <alignment vertical="center"/>
    </xf>
    <xf numFmtId="3" fontId="62" fillId="0" borderId="0" xfId="5" applyNumberFormat="1" applyFont="1" applyAlignment="1">
      <alignment vertical="center"/>
    </xf>
    <xf numFmtId="3" fontId="60" fillId="0" borderId="30" xfId="5" quotePrefix="1" applyNumberFormat="1" applyFont="1" applyBorder="1" applyAlignment="1">
      <alignment horizontal="center" vertical="center"/>
    </xf>
    <xf numFmtId="0" fontId="60" fillId="0" borderId="29" xfId="11" applyFont="1" applyBorder="1" applyAlignment="1">
      <alignment horizontal="centerContinuous" vertical="center"/>
    </xf>
    <xf numFmtId="0" fontId="60" fillId="0" borderId="30" xfId="11" applyFont="1" applyBorder="1" applyAlignment="1">
      <alignment horizontal="center" vertical="center"/>
    </xf>
    <xf numFmtId="2" fontId="60" fillId="0" borderId="30" xfId="11" applyNumberFormat="1" applyFont="1" applyBorder="1" applyAlignment="1">
      <alignment horizontal="center" vertical="center"/>
    </xf>
    <xf numFmtId="185" fontId="60" fillId="0" borderId="30" xfId="11" applyNumberFormat="1" applyFont="1" applyBorder="1" applyAlignment="1">
      <alignment horizontal="center" vertical="center"/>
    </xf>
    <xf numFmtId="0" fontId="60" fillId="0" borderId="31" xfId="11" applyFont="1" applyBorder="1" applyAlignment="1">
      <alignment horizontal="center" vertical="center"/>
    </xf>
    <xf numFmtId="0" fontId="60" fillId="0" borderId="32" xfId="11" applyFont="1" applyBorder="1" applyAlignment="1">
      <alignment horizontal="center" vertical="center"/>
    </xf>
    <xf numFmtId="184" fontId="62" fillId="0" borderId="0" xfId="11" applyNumberFormat="1" applyFont="1" applyAlignment="1">
      <alignment horizontal="center" vertical="center"/>
    </xf>
    <xf numFmtId="0" fontId="61" fillId="0" borderId="15" xfId="11" applyFont="1" applyBorder="1" applyAlignment="1">
      <alignment horizontal="left" vertical="center"/>
    </xf>
    <xf numFmtId="0" fontId="61" fillId="0" borderId="44" xfId="11" applyFont="1" applyBorder="1" applyAlignment="1">
      <alignment horizontal="center" vertical="center"/>
    </xf>
    <xf numFmtId="2" fontId="61" fillId="0" borderId="44" xfId="11" applyNumberFormat="1" applyFont="1" applyBorder="1" applyAlignment="1">
      <alignment horizontal="center" vertical="center"/>
    </xf>
    <xf numFmtId="185" fontId="61" fillId="0" borderId="44" xfId="11" applyNumberFormat="1" applyFont="1" applyBorder="1" applyAlignment="1">
      <alignment horizontal="center" vertical="center"/>
    </xf>
    <xf numFmtId="0" fontId="61" fillId="0" borderId="45" xfId="11" applyFont="1" applyBorder="1" applyAlignment="1">
      <alignment horizontal="center" vertical="center"/>
    </xf>
    <xf numFmtId="185" fontId="61" fillId="0" borderId="63" xfId="11" applyNumberFormat="1" applyFont="1" applyBorder="1" applyAlignment="1">
      <alignment horizontal="center" vertical="center"/>
    </xf>
    <xf numFmtId="184" fontId="32" fillId="0" borderId="0" xfId="11" applyNumberFormat="1" applyFont="1" applyAlignment="1">
      <alignment horizontal="center" vertical="center"/>
    </xf>
    <xf numFmtId="185" fontId="61" fillId="0" borderId="1" xfId="7" applyNumberFormat="1" applyFont="1" applyBorder="1" applyAlignment="1">
      <alignment horizontal="center" vertical="center"/>
    </xf>
    <xf numFmtId="4" fontId="61" fillId="0" borderId="7" xfId="7" applyNumberFormat="1" applyFont="1" applyBorder="1" applyAlignment="1">
      <alignment vertical="center"/>
    </xf>
    <xf numFmtId="185" fontId="61" fillId="0" borderId="6" xfId="4" applyNumberFormat="1" applyFont="1" applyFill="1" applyBorder="1" applyAlignment="1">
      <alignment horizontal="center" vertical="center"/>
    </xf>
    <xf numFmtId="184" fontId="32" fillId="0" borderId="0" xfId="11" applyNumberFormat="1" applyFont="1" applyAlignment="1">
      <alignment vertical="center"/>
    </xf>
    <xf numFmtId="0" fontId="61" fillId="0" borderId="0" xfId="11" applyFont="1" applyAlignment="1">
      <alignment vertical="center"/>
    </xf>
    <xf numFmtId="4" fontId="61" fillId="0" borderId="0" xfId="11" applyNumberFormat="1" applyFont="1" applyAlignment="1">
      <alignment horizontal="center" vertical="center"/>
    </xf>
    <xf numFmtId="2" fontId="60" fillId="0" borderId="0" xfId="11" applyNumberFormat="1" applyFont="1" applyAlignment="1">
      <alignment vertical="center"/>
    </xf>
    <xf numFmtId="185" fontId="60" fillId="0" borderId="0" xfId="11" applyNumberFormat="1" applyFont="1" applyAlignment="1">
      <alignment horizontal="center" vertical="center"/>
    </xf>
    <xf numFmtId="4" fontId="60" fillId="0" borderId="0" xfId="11" applyNumberFormat="1" applyFont="1" applyAlignment="1">
      <alignment vertical="center"/>
    </xf>
    <xf numFmtId="4" fontId="61" fillId="0" borderId="0" xfId="11" applyNumberFormat="1" applyFont="1" applyAlignment="1">
      <alignment vertical="center"/>
    </xf>
    <xf numFmtId="184" fontId="62" fillId="0" borderId="32" xfId="11" applyNumberFormat="1" applyFont="1" applyBorder="1" applyAlignment="1">
      <alignment vertical="center"/>
    </xf>
    <xf numFmtId="0" fontId="38" fillId="0" borderId="0" xfId="11" applyFont="1" applyAlignment="1">
      <alignment vertical="center"/>
    </xf>
    <xf numFmtId="4" fontId="32" fillId="0" borderId="0" xfId="11" applyNumberFormat="1" applyFont="1" applyAlignment="1">
      <alignment horizontal="center" vertical="center"/>
    </xf>
    <xf numFmtId="2" fontId="32" fillId="0" borderId="0" xfId="11" applyNumberFormat="1" applyFont="1" applyAlignment="1">
      <alignment vertical="center"/>
    </xf>
    <xf numFmtId="185" fontId="32" fillId="0" borderId="0" xfId="11" applyNumberFormat="1" applyFont="1" applyAlignment="1">
      <alignment horizontal="center" vertical="center"/>
    </xf>
    <xf numFmtId="4" fontId="32" fillId="0" borderId="0" xfId="11" applyNumberFormat="1" applyFont="1" applyAlignment="1">
      <alignment vertical="center"/>
    </xf>
    <xf numFmtId="0" fontId="60" fillId="0" borderId="27" xfId="11" applyFont="1" applyBorder="1" applyAlignment="1">
      <alignment horizontal="centerContinuous" vertical="center"/>
    </xf>
    <xf numFmtId="4" fontId="60" fillId="0" borderId="30" xfId="11" applyNumberFormat="1" applyFont="1" applyBorder="1" applyAlignment="1">
      <alignment horizontal="center" vertical="center"/>
    </xf>
    <xf numFmtId="185" fontId="60" fillId="0" borderId="31" xfId="11" applyNumberFormat="1" applyFont="1" applyBorder="1" applyAlignment="1">
      <alignment horizontal="center" vertical="center"/>
    </xf>
    <xf numFmtId="4" fontId="60" fillId="0" borderId="32" xfId="11" applyNumberFormat="1" applyFont="1" applyBorder="1" applyAlignment="1">
      <alignment horizontal="center" vertical="center"/>
    </xf>
    <xf numFmtId="0" fontId="60" fillId="0" borderId="50" xfId="11" applyFont="1" applyBorder="1" applyAlignment="1">
      <alignment horizontal="center" vertical="center"/>
    </xf>
    <xf numFmtId="4" fontId="61" fillId="0" borderId="44" xfId="11" applyNumberFormat="1" applyFont="1" applyBorder="1" applyAlignment="1">
      <alignment horizontal="center" vertical="center"/>
    </xf>
    <xf numFmtId="185" fontId="61" fillId="0" borderId="34" xfId="7" applyNumberFormat="1" applyFont="1" applyBorder="1" applyAlignment="1">
      <alignment horizontal="center" vertical="center"/>
    </xf>
    <xf numFmtId="10" fontId="61" fillId="0" borderId="34" xfId="12" applyNumberFormat="1" applyFont="1" applyFill="1" applyBorder="1" applyAlignment="1">
      <alignment horizontal="center" vertical="center"/>
    </xf>
    <xf numFmtId="4" fontId="61" fillId="0" borderId="36" xfId="7" applyNumberFormat="1" applyFont="1" applyBorder="1" applyAlignment="1">
      <alignment vertical="center"/>
    </xf>
    <xf numFmtId="0" fontId="61" fillId="0" borderId="67" xfId="11" applyFont="1" applyBorder="1" applyAlignment="1">
      <alignment horizontal="left" vertical="center"/>
    </xf>
    <xf numFmtId="4" fontId="61" fillId="0" borderId="38" xfId="11" applyNumberFormat="1" applyFont="1" applyBorder="1" applyAlignment="1">
      <alignment horizontal="center" vertical="center"/>
    </xf>
    <xf numFmtId="2" fontId="61" fillId="0" borderId="38" xfId="11" applyNumberFormat="1" applyFont="1" applyBorder="1" applyAlignment="1">
      <alignment horizontal="center" vertical="center"/>
    </xf>
    <xf numFmtId="185" fontId="61" fillId="0" borderId="38" xfId="11" applyNumberFormat="1" applyFont="1" applyBorder="1" applyAlignment="1">
      <alignment horizontal="center" vertical="center"/>
    </xf>
    <xf numFmtId="4" fontId="61" fillId="0" borderId="66" xfId="11" applyNumberFormat="1" applyFont="1" applyBorder="1" applyAlignment="1">
      <alignment vertical="center"/>
    </xf>
    <xf numFmtId="4" fontId="61" fillId="0" borderId="10" xfId="7" applyNumberFormat="1" applyFont="1" applyBorder="1" applyAlignment="1">
      <alignment vertical="center"/>
    </xf>
    <xf numFmtId="185" fontId="60" fillId="0" borderId="0" xfId="11" quotePrefix="1" applyNumberFormat="1" applyFont="1" applyAlignment="1">
      <alignment horizontal="center" vertical="center"/>
    </xf>
    <xf numFmtId="4" fontId="60" fillId="0" borderId="0" xfId="11" quotePrefix="1" applyNumberFormat="1" applyFont="1" applyAlignment="1">
      <alignment horizontal="left" vertical="center"/>
    </xf>
    <xf numFmtId="0" fontId="60" fillId="0" borderId="27" xfId="11" applyFont="1" applyBorder="1" applyAlignment="1">
      <alignment horizontal="center" vertical="center"/>
    </xf>
    <xf numFmtId="2" fontId="60" fillId="0" borderId="30" xfId="9" applyNumberFormat="1" applyFont="1" applyBorder="1" applyAlignment="1">
      <alignment horizontal="center" vertical="center"/>
    </xf>
    <xf numFmtId="185" fontId="60" fillId="0" borderId="30" xfId="9" quotePrefix="1" applyNumberFormat="1" applyFont="1" applyBorder="1" applyAlignment="1">
      <alignment horizontal="center" vertical="center"/>
    </xf>
    <xf numFmtId="4" fontId="60" fillId="0" borderId="31" xfId="9" applyNumberFormat="1" applyFont="1" applyBorder="1" applyAlignment="1">
      <alignment horizontal="center" vertical="center"/>
    </xf>
    <xf numFmtId="0" fontId="60" fillId="0" borderId="28" xfId="9" applyFont="1" applyBorder="1" applyAlignment="1">
      <alignment horizontal="center" vertical="center"/>
    </xf>
    <xf numFmtId="0" fontId="61" fillId="0" borderId="16" xfId="11" applyFont="1" applyBorder="1" applyAlignment="1">
      <alignment horizontal="left" vertical="center" wrapText="1"/>
    </xf>
    <xf numFmtId="4" fontId="61" fillId="0" borderId="35" xfId="11" applyNumberFormat="1" applyFont="1" applyBorder="1" applyAlignment="1">
      <alignment horizontal="center" vertical="center"/>
    </xf>
    <xf numFmtId="2" fontId="61" fillId="0" borderId="35" xfId="11" applyNumberFormat="1" applyFont="1" applyBorder="1" applyAlignment="1">
      <alignment horizontal="center" vertical="center"/>
    </xf>
    <xf numFmtId="185" fontId="61" fillId="0" borderId="35" xfId="11" applyNumberFormat="1" applyFont="1" applyBorder="1" applyAlignment="1">
      <alignment horizontal="center" vertical="center"/>
    </xf>
    <xf numFmtId="4" fontId="61" fillId="0" borderId="39" xfId="11" applyNumberFormat="1" applyFont="1" applyBorder="1" applyAlignment="1">
      <alignment vertical="center"/>
    </xf>
    <xf numFmtId="0" fontId="61" fillId="0" borderId="8" xfId="11" applyFont="1" applyBorder="1" applyAlignment="1">
      <alignment horizontal="left" vertical="center" wrapText="1"/>
    </xf>
    <xf numFmtId="4" fontId="32" fillId="0" borderId="9" xfId="11" applyNumberFormat="1" applyFont="1" applyBorder="1" applyAlignment="1">
      <alignment horizontal="center" vertical="center"/>
    </xf>
    <xf numFmtId="2" fontId="32" fillId="0" borderId="38" xfId="11" applyNumberFormat="1" applyFont="1" applyBorder="1" applyAlignment="1">
      <alignment horizontal="right" vertical="center"/>
    </xf>
    <xf numFmtId="9" fontId="61" fillId="0" borderId="66" xfId="2" applyFont="1" applyFill="1" applyBorder="1" applyAlignment="1">
      <alignment vertical="center"/>
    </xf>
    <xf numFmtId="4" fontId="61" fillId="0" borderId="64" xfId="11" applyNumberFormat="1" applyFont="1" applyBorder="1" applyAlignment="1">
      <alignment vertical="center"/>
    </xf>
    <xf numFmtId="185" fontId="60" fillId="0" borderId="30" xfId="11" quotePrefix="1" applyNumberFormat="1" applyFont="1" applyBorder="1" applyAlignment="1">
      <alignment horizontal="center" vertical="center"/>
    </xf>
    <xf numFmtId="4" fontId="60" fillId="0" borderId="31" xfId="11" applyNumberFormat="1" applyFont="1" applyBorder="1" applyAlignment="1">
      <alignment horizontal="center" vertical="center"/>
    </xf>
    <xf numFmtId="0" fontId="60" fillId="0" borderId="28" xfId="11" applyFont="1" applyBorder="1" applyAlignment="1">
      <alignment horizontal="center" vertical="center"/>
    </xf>
    <xf numFmtId="0" fontId="61" fillId="0" borderId="16" xfId="11" applyFont="1" applyBorder="1" applyAlignment="1">
      <alignment horizontal="left" vertical="center"/>
    </xf>
    <xf numFmtId="185" fontId="61" fillId="0" borderId="35" xfId="9" applyNumberFormat="1" applyFont="1" applyBorder="1" applyAlignment="1">
      <alignment horizontal="center" vertical="center"/>
    </xf>
    <xf numFmtId="0" fontId="32" fillId="0" borderId="8" xfId="11" applyFont="1" applyBorder="1" applyAlignment="1">
      <alignment horizontal="left" vertical="center"/>
    </xf>
    <xf numFmtId="2" fontId="32" fillId="0" borderId="9" xfId="11" applyNumberFormat="1" applyFont="1" applyBorder="1" applyAlignment="1">
      <alignment horizontal="right" vertical="center"/>
    </xf>
    <xf numFmtId="185" fontId="32" fillId="0" borderId="9" xfId="11" applyNumberFormat="1" applyFont="1" applyBorder="1" applyAlignment="1">
      <alignment horizontal="center" vertical="center"/>
    </xf>
    <xf numFmtId="173" fontId="32" fillId="0" borderId="24" xfId="11" applyNumberFormat="1" applyFont="1" applyBorder="1" applyAlignment="1">
      <alignment vertical="center"/>
    </xf>
    <xf numFmtId="4" fontId="32" fillId="0" borderId="10" xfId="11" applyNumberFormat="1" applyFont="1" applyBorder="1" applyAlignment="1">
      <alignment vertical="center"/>
    </xf>
    <xf numFmtId="184" fontId="38" fillId="0" borderId="0" xfId="11" applyNumberFormat="1" applyFont="1" applyAlignment="1">
      <alignment vertical="center"/>
    </xf>
    <xf numFmtId="0" fontId="25" fillId="0" borderId="0" xfId="11" applyFont="1" applyAlignment="1">
      <alignment vertical="center"/>
    </xf>
    <xf numFmtId="185" fontId="62" fillId="0" borderId="0" xfId="11" applyNumberFormat="1" applyFont="1" applyAlignment="1">
      <alignment horizontal="center" vertical="center"/>
    </xf>
    <xf numFmtId="4" fontId="62" fillId="0" borderId="0" xfId="11" applyNumberFormat="1" applyFont="1" applyAlignment="1">
      <alignment vertical="center"/>
    </xf>
    <xf numFmtId="184" fontId="38" fillId="0" borderId="32" xfId="11" applyNumberFormat="1" applyFont="1" applyBorder="1" applyAlignment="1">
      <alignment vertical="center"/>
    </xf>
    <xf numFmtId="0" fontId="67" fillId="0" borderId="68" xfId="7" applyFont="1" applyBorder="1" applyAlignment="1">
      <alignment horizontal="center" vertical="center"/>
    </xf>
    <xf numFmtId="0" fontId="2" fillId="0" borderId="68" xfId="7" applyFont="1" applyBorder="1" applyAlignment="1">
      <alignment horizontal="center" vertical="center"/>
    </xf>
    <xf numFmtId="0" fontId="2" fillId="0" borderId="68" xfId="7" applyFont="1" applyBorder="1" applyAlignment="1">
      <alignment vertical="center"/>
    </xf>
    <xf numFmtId="3" fontId="2" fillId="0" borderId="68" xfId="7" applyNumberFormat="1" applyFont="1" applyBorder="1" applyAlignment="1">
      <alignment vertical="center"/>
    </xf>
    <xf numFmtId="4" fontId="40" fillId="0" borderId="100" xfId="26" applyNumberFormat="1" applyFont="1" applyBorder="1" applyAlignment="1">
      <alignment horizontal="center" vertical="center"/>
    </xf>
    <xf numFmtId="0" fontId="55" fillId="2" borderId="0" xfId="26" applyFont="1" applyFill="1"/>
    <xf numFmtId="0" fontId="56" fillId="2" borderId="0" xfId="26" applyFont="1" applyFill="1"/>
    <xf numFmtId="183" fontId="54" fillId="0" borderId="98" xfId="26" applyNumberFormat="1" applyFont="1" applyBorder="1" applyAlignment="1">
      <alignment vertical="center"/>
    </xf>
    <xf numFmtId="0" fontId="70" fillId="0" borderId="0" xfId="26" applyFont="1" applyAlignment="1">
      <alignment horizontal="left" vertical="center" wrapText="1"/>
    </xf>
    <xf numFmtId="0" fontId="70" fillId="0" borderId="0" xfId="26" applyFont="1" applyAlignment="1">
      <alignment horizontal="center" vertical="center" wrapText="1"/>
    </xf>
    <xf numFmtId="0" fontId="72" fillId="0" borderId="0" xfId="26" applyFont="1" applyAlignment="1">
      <alignment horizontal="center" vertical="center" textRotation="90"/>
    </xf>
    <xf numFmtId="0" fontId="69" fillId="0" borderId="0" xfId="26" applyFont="1" applyAlignment="1">
      <alignment horizontal="center" vertical="center"/>
    </xf>
    <xf numFmtId="0" fontId="54" fillId="0" borderId="0" xfId="26" applyFont="1" applyAlignment="1">
      <alignment vertical="center"/>
    </xf>
    <xf numFmtId="4" fontId="54" fillId="0" borderId="0" xfId="26" applyNumberFormat="1" applyFont="1" applyAlignment="1">
      <alignment vertical="center"/>
    </xf>
    <xf numFmtId="3" fontId="54" fillId="0" borderId="0" xfId="26" applyNumberFormat="1" applyFont="1" applyAlignment="1">
      <alignment vertical="center"/>
    </xf>
    <xf numFmtId="0" fontId="72" fillId="0" borderId="0" xfId="26" applyFont="1" applyAlignment="1">
      <alignment horizontal="right" vertical="center"/>
    </xf>
    <xf numFmtId="183" fontId="71" fillId="0" borderId="0" xfId="26" applyNumberFormat="1" applyFont="1" applyAlignment="1">
      <alignment vertical="center"/>
    </xf>
    <xf numFmtId="182" fontId="40" fillId="0" borderId="83" xfId="26" applyNumberFormat="1" applyFont="1" applyBorder="1" applyAlignment="1">
      <alignment vertical="center"/>
    </xf>
    <xf numFmtId="0" fontId="45" fillId="0" borderId="0" xfId="26" applyFont="1" applyAlignment="1">
      <alignment horizontal="right" vertical="center"/>
    </xf>
    <xf numFmtId="182" fontId="36" fillId="0" borderId="0" xfId="26" applyNumberFormat="1" applyFont="1" applyAlignment="1">
      <alignment vertical="center"/>
    </xf>
    <xf numFmtId="0" fontId="60" fillId="0" borderId="13" xfId="5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4" fontId="61" fillId="0" borderId="5" xfId="7" applyNumberFormat="1" applyFont="1" applyBorder="1" applyAlignment="1">
      <alignment horizontal="left" vertical="center"/>
    </xf>
    <xf numFmtId="172" fontId="61" fillId="0" borderId="1" xfId="7" applyNumberFormat="1" applyFont="1" applyBorder="1" applyAlignment="1">
      <alignment horizontal="center" vertical="center"/>
    </xf>
    <xf numFmtId="0" fontId="61" fillId="0" borderId="51" xfId="5" applyFont="1" applyBorder="1" applyAlignment="1">
      <alignment horizontal="left" vertical="center" wrapText="1"/>
    </xf>
    <xf numFmtId="4" fontId="61" fillId="0" borderId="38" xfId="5" applyNumberFormat="1" applyFont="1" applyBorder="1" applyAlignment="1">
      <alignment horizontal="center" vertical="center"/>
    </xf>
    <xf numFmtId="2" fontId="61" fillId="0" borderId="38" xfId="5" applyNumberFormat="1" applyFont="1" applyBorder="1" applyAlignment="1">
      <alignment horizontal="center" vertical="center"/>
    </xf>
    <xf numFmtId="4" fontId="61" fillId="0" borderId="38" xfId="5" applyNumberFormat="1" applyFont="1" applyBorder="1" applyAlignment="1">
      <alignment vertical="center"/>
    </xf>
    <xf numFmtId="10" fontId="61" fillId="0" borderId="38" xfId="5" applyNumberFormat="1" applyFont="1" applyBorder="1" applyAlignment="1">
      <alignment horizontal="center" vertical="center"/>
    </xf>
    <xf numFmtId="171" fontId="61" fillId="0" borderId="10" xfId="7" applyNumberFormat="1" applyFont="1" applyBorder="1" applyAlignment="1">
      <alignment vertical="center"/>
    </xf>
    <xf numFmtId="0" fontId="24" fillId="0" borderId="32" xfId="0" applyFont="1" applyBorder="1" applyAlignment="1">
      <alignment horizontal="left" vertical="top" wrapText="1"/>
    </xf>
    <xf numFmtId="0" fontId="1" fillId="0" borderId="32" xfId="0" applyFont="1" applyBorder="1" applyAlignment="1">
      <alignment horizontal="left" vertical="center"/>
    </xf>
    <xf numFmtId="166" fontId="73" fillId="0" borderId="32" xfId="1" applyFont="1" applyFill="1" applyBorder="1" applyAlignment="1">
      <alignment horizontal="right" vertical="center"/>
    </xf>
    <xf numFmtId="10" fontId="61" fillId="0" borderId="32" xfId="2" applyNumberFormat="1" applyFont="1" applyFill="1" applyBorder="1" applyAlignment="1">
      <alignment vertical="center"/>
    </xf>
    <xf numFmtId="171" fontId="61" fillId="0" borderId="32" xfId="5" applyNumberFormat="1" applyFont="1" applyBorder="1" applyAlignment="1">
      <alignment vertical="center"/>
    </xf>
    <xf numFmtId="0" fontId="32" fillId="0" borderId="72" xfId="5" applyFont="1" applyBorder="1" applyAlignment="1">
      <alignment horizontal="left" vertical="center"/>
    </xf>
    <xf numFmtId="4" fontId="32" fillId="0" borderId="71" xfId="5" applyNumberFormat="1" applyFont="1" applyBorder="1" applyAlignment="1">
      <alignment horizontal="center" vertical="center"/>
    </xf>
    <xf numFmtId="4" fontId="32" fillId="0" borderId="38" xfId="5" applyNumberFormat="1" applyFont="1" applyBorder="1" applyAlignment="1">
      <alignment horizontal="right" vertical="center"/>
    </xf>
    <xf numFmtId="3" fontId="32" fillId="0" borderId="38" xfId="5" applyNumberFormat="1" applyFont="1" applyBorder="1" applyAlignment="1">
      <alignment vertical="center"/>
    </xf>
    <xf numFmtId="171" fontId="32" fillId="0" borderId="64" xfId="5" applyNumberFormat="1" applyFont="1" applyBorder="1" applyAlignment="1">
      <alignment vertical="center"/>
    </xf>
    <xf numFmtId="2" fontId="32" fillId="0" borderId="66" xfId="5" applyNumberFormat="1" applyFont="1" applyBorder="1" applyAlignment="1">
      <alignment vertical="center"/>
    </xf>
    <xf numFmtId="0" fontId="64" fillId="0" borderId="0" xfId="0" applyFont="1" applyAlignment="1">
      <alignment horizontal="left"/>
    </xf>
    <xf numFmtId="4" fontId="60" fillId="0" borderId="30" xfId="34" applyNumberFormat="1" applyFont="1" applyBorder="1" applyAlignment="1">
      <alignment horizontal="center" vertical="center"/>
    </xf>
    <xf numFmtId="186" fontId="60" fillId="0" borderId="30" xfId="34" applyNumberFormat="1" applyFont="1" applyBorder="1" applyAlignment="1">
      <alignment horizontal="center" vertical="center"/>
    </xf>
    <xf numFmtId="187" fontId="60" fillId="0" borderId="30" xfId="34" quotePrefix="1" applyNumberFormat="1" applyFont="1" applyBorder="1" applyAlignment="1">
      <alignment horizontal="center" vertical="center"/>
    </xf>
    <xf numFmtId="9" fontId="60" fillId="0" borderId="31" xfId="2" applyFont="1" applyFill="1" applyBorder="1" applyAlignment="1">
      <alignment horizontal="center" vertical="center"/>
    </xf>
    <xf numFmtId="188" fontId="60" fillId="0" borderId="28" xfId="34" applyNumberFormat="1" applyFont="1" applyBorder="1" applyAlignment="1">
      <alignment horizontal="center" vertical="center"/>
    </xf>
    <xf numFmtId="0" fontId="64" fillId="0" borderId="115" xfId="5" applyFont="1" applyBorder="1" applyAlignment="1">
      <alignment horizontal="left" vertical="center"/>
    </xf>
    <xf numFmtId="4" fontId="64" fillId="0" borderId="35" xfId="5" applyNumberFormat="1" applyFont="1" applyBorder="1" applyAlignment="1">
      <alignment horizontal="left" vertical="center"/>
    </xf>
    <xf numFmtId="4" fontId="64" fillId="0" borderId="35" xfId="5" quotePrefix="1" applyNumberFormat="1" applyFont="1" applyBorder="1" applyAlignment="1">
      <alignment horizontal="left" vertical="center"/>
    </xf>
    <xf numFmtId="2" fontId="64" fillId="0" borderId="74" xfId="5" applyNumberFormat="1" applyFont="1" applyBorder="1" applyAlignment="1">
      <alignment horizontal="left" vertical="center"/>
    </xf>
    <xf numFmtId="171" fontId="64" fillId="0" borderId="39" xfId="5" applyNumberFormat="1" applyFont="1" applyBorder="1" applyAlignment="1">
      <alignment horizontal="left" vertical="center"/>
    </xf>
    <xf numFmtId="4" fontId="64" fillId="0" borderId="0" xfId="5" applyNumberFormat="1" applyFont="1" applyAlignment="1">
      <alignment horizontal="left" vertical="center"/>
    </xf>
    <xf numFmtId="0" fontId="64" fillId="0" borderId="0" xfId="7" applyFont="1" applyAlignment="1">
      <alignment horizontal="left" vertical="center"/>
    </xf>
    <xf numFmtId="0" fontId="64" fillId="0" borderId="51" xfId="5" applyFont="1" applyBorder="1" applyAlignment="1">
      <alignment horizontal="left" vertical="center"/>
    </xf>
    <xf numFmtId="4" fontId="64" fillId="0" borderId="38" xfId="5" applyNumberFormat="1" applyFont="1" applyBorder="1" applyAlignment="1">
      <alignment horizontal="left" vertical="center"/>
    </xf>
    <xf numFmtId="4" fontId="64" fillId="0" borderId="38" xfId="9" applyNumberFormat="1" applyFont="1" applyBorder="1" applyAlignment="1">
      <alignment horizontal="left" vertical="center"/>
    </xf>
    <xf numFmtId="2" fontId="64" fillId="0" borderId="66" xfId="5" applyNumberFormat="1" applyFont="1" applyBorder="1" applyAlignment="1">
      <alignment horizontal="left" vertical="center"/>
    </xf>
    <xf numFmtId="171" fontId="64" fillId="0" borderId="64" xfId="5" applyNumberFormat="1" applyFont="1" applyBorder="1" applyAlignment="1">
      <alignment horizontal="left" vertical="center"/>
    </xf>
    <xf numFmtId="4" fontId="38" fillId="0" borderId="0" xfId="5" applyNumberFormat="1" applyFont="1" applyAlignment="1">
      <alignment vertical="center"/>
    </xf>
    <xf numFmtId="0" fontId="65" fillId="0" borderId="3" xfId="7" applyFont="1" applyBorder="1" applyAlignment="1">
      <alignment horizontal="left" vertical="center"/>
    </xf>
    <xf numFmtId="4" fontId="65" fillId="0" borderId="1" xfId="7" applyNumberFormat="1" applyFont="1" applyBorder="1" applyAlignment="1">
      <alignment horizontal="center" vertical="center"/>
    </xf>
    <xf numFmtId="4" fontId="65" fillId="0" borderId="1" xfId="7" applyNumberFormat="1" applyFont="1" applyBorder="1" applyAlignment="1">
      <alignment vertical="center"/>
    </xf>
    <xf numFmtId="171" fontId="61" fillId="0" borderId="6" xfId="8" applyNumberFormat="1" applyFont="1" applyFill="1" applyBorder="1" applyAlignment="1">
      <alignment vertical="center"/>
    </xf>
    <xf numFmtId="0" fontId="65" fillId="0" borderId="37" xfId="7" applyFont="1" applyBorder="1" applyAlignment="1">
      <alignment horizontal="left" vertical="center"/>
    </xf>
    <xf numFmtId="4" fontId="65" fillId="0" borderId="9" xfId="7" applyNumberFormat="1" applyFont="1" applyBorder="1" applyAlignment="1">
      <alignment horizontal="center" vertical="center"/>
    </xf>
    <xf numFmtId="4" fontId="65" fillId="0" borderId="9" xfId="7" applyNumberFormat="1" applyFont="1" applyBorder="1" applyAlignment="1">
      <alignment vertical="center"/>
    </xf>
    <xf numFmtId="171" fontId="61" fillId="0" borderId="10" xfId="8" applyNumberFormat="1" applyFont="1" applyFill="1" applyBorder="1" applyAlignment="1">
      <alignment vertical="center"/>
    </xf>
    <xf numFmtId="3" fontId="62" fillId="0" borderId="32" xfId="5" applyNumberFormat="1" applyFont="1" applyBorder="1" applyAlignment="1">
      <alignment vertical="center"/>
    </xf>
    <xf numFmtId="0" fontId="68" fillId="0" borderId="15" xfId="5" applyFont="1" applyBorder="1" applyAlignment="1">
      <alignment horizontal="center" vertical="center"/>
    </xf>
    <xf numFmtId="0" fontId="68" fillId="0" borderId="48" xfId="5" applyFont="1" applyBorder="1" applyAlignment="1">
      <alignment horizontal="center" vertical="center"/>
    </xf>
    <xf numFmtId="0" fontId="64" fillId="0" borderId="15" xfId="5" applyFont="1" applyBorder="1" applyAlignment="1">
      <alignment horizontal="left" vertical="center"/>
    </xf>
    <xf numFmtId="0" fontId="64" fillId="0" borderId="15" xfId="5" applyFont="1" applyBorder="1" applyAlignment="1">
      <alignment vertical="center"/>
    </xf>
    <xf numFmtId="3" fontId="58" fillId="0" borderId="0" xfId="7" applyNumberFormat="1" applyFont="1" applyAlignment="1">
      <alignment vertical="center"/>
    </xf>
    <xf numFmtId="4" fontId="61" fillId="0" borderId="8" xfId="7" applyNumberFormat="1" applyFont="1" applyBorder="1" applyAlignment="1">
      <alignment horizontal="left" vertical="center"/>
    </xf>
    <xf numFmtId="172" fontId="61" fillId="0" borderId="9" xfId="7" applyNumberFormat="1" applyFont="1" applyBorder="1" applyAlignment="1">
      <alignment horizontal="center" vertical="center"/>
    </xf>
    <xf numFmtId="2" fontId="61" fillId="0" borderId="9" xfId="7" applyNumberFormat="1" applyFont="1" applyBorder="1" applyAlignment="1">
      <alignment horizontal="center" vertical="center"/>
    </xf>
    <xf numFmtId="3" fontId="61" fillId="0" borderId="9" xfId="7" applyNumberFormat="1" applyFont="1" applyBorder="1" applyAlignment="1">
      <alignment horizontal="center" vertical="center"/>
    </xf>
    <xf numFmtId="0" fontId="58" fillId="0" borderId="68" xfId="7" applyFont="1" applyBorder="1" applyAlignment="1">
      <alignment vertical="center"/>
    </xf>
    <xf numFmtId="4" fontId="2" fillId="0" borderId="68" xfId="7" applyNumberFormat="1" applyFont="1" applyBorder="1" applyAlignment="1">
      <alignment horizontal="center" vertical="center"/>
    </xf>
    <xf numFmtId="4" fontId="2" fillId="0" borderId="68" xfId="7" applyNumberFormat="1" applyFont="1" applyBorder="1" applyAlignment="1">
      <alignment vertical="center"/>
    </xf>
    <xf numFmtId="10" fontId="1" fillId="0" borderId="0" xfId="0" applyNumberFormat="1" applyFont="1"/>
    <xf numFmtId="171" fontId="1" fillId="0" borderId="0" xfId="0" applyNumberFormat="1" applyFont="1"/>
    <xf numFmtId="0" fontId="70" fillId="0" borderId="15" xfId="26" applyFont="1" applyBorder="1" applyAlignment="1">
      <alignment vertical="center"/>
    </xf>
    <xf numFmtId="0" fontId="69" fillId="0" borderId="81" xfId="26" applyFont="1" applyBorder="1" applyAlignment="1">
      <alignment vertical="center"/>
    </xf>
    <xf numFmtId="4" fontId="54" fillId="0" borderId="1" xfId="26" applyNumberFormat="1" applyFont="1" applyBorder="1" applyAlignment="1">
      <alignment vertical="center"/>
    </xf>
    <xf numFmtId="0" fontId="69" fillId="0" borderId="102" xfId="26" applyFont="1" applyBorder="1" applyAlignment="1">
      <alignment horizontal="center" vertical="center"/>
    </xf>
    <xf numFmtId="0" fontId="59" fillId="0" borderId="0" xfId="26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" fontId="33" fillId="0" borderId="0" xfId="26" applyNumberFormat="1" applyFont="1" applyAlignment="1">
      <alignment horizontal="center" vertical="center" textRotation="90"/>
    </xf>
    <xf numFmtId="0" fontId="34" fillId="0" borderId="0" xfId="26" applyFont="1" applyAlignment="1">
      <alignment horizontal="center" vertical="center" textRotation="90"/>
    </xf>
    <xf numFmtId="0" fontId="40" fillId="0" borderId="0" xfId="26" applyFont="1" applyAlignment="1">
      <alignment horizontal="center" vertical="center"/>
    </xf>
    <xf numFmtId="0" fontId="33" fillId="0" borderId="0" xfId="26" applyFont="1" applyAlignment="1">
      <alignment horizontal="center" vertical="center" textRotation="90"/>
    </xf>
    <xf numFmtId="0" fontId="33" fillId="0" borderId="0" xfId="26" applyFont="1" applyAlignment="1">
      <alignment horizontal="center" vertical="center"/>
    </xf>
    <xf numFmtId="2" fontId="43" fillId="0" borderId="0" xfId="26" applyNumberFormat="1" applyFont="1" applyAlignment="1">
      <alignment horizontal="left" vertical="center" textRotation="180"/>
    </xf>
    <xf numFmtId="2" fontId="33" fillId="0" borderId="0" xfId="26" applyNumberFormat="1" applyFont="1" applyAlignment="1">
      <alignment horizontal="center" vertical="center" textRotation="180"/>
    </xf>
    <xf numFmtId="0" fontId="36" fillId="0" borderId="81" xfId="26" applyFont="1" applyBorder="1" applyAlignment="1">
      <alignment vertical="center"/>
    </xf>
    <xf numFmtId="0" fontId="34" fillId="0" borderId="93" xfId="26" applyFont="1" applyBorder="1" applyAlignment="1">
      <alignment horizontal="center" vertical="center"/>
    </xf>
    <xf numFmtId="181" fontId="40" fillId="0" borderId="100" xfId="26" applyNumberFormat="1" applyFont="1" applyBorder="1" applyAlignment="1">
      <alignment horizontal="center" vertical="center"/>
    </xf>
    <xf numFmtId="3" fontId="40" fillId="0" borderId="105" xfId="26" applyNumberFormat="1" applyFont="1" applyBorder="1" applyAlignment="1">
      <alignment vertical="center"/>
    </xf>
    <xf numFmtId="0" fontId="34" fillId="0" borderId="100" xfId="26" applyFont="1" applyBorder="1" applyAlignment="1">
      <alignment horizontal="center" vertical="center"/>
    </xf>
    <xf numFmtId="4" fontId="40" fillId="0" borderId="100" xfId="26" applyNumberFormat="1" applyFont="1" applyBorder="1" applyAlignment="1">
      <alignment vertical="center"/>
    </xf>
    <xf numFmtId="0" fontId="27" fillId="0" borderId="1" xfId="26" applyFont="1" applyBorder="1"/>
    <xf numFmtId="0" fontId="40" fillId="0" borderId="94" xfId="26" applyFont="1" applyBorder="1" applyAlignment="1">
      <alignment vertical="center"/>
    </xf>
    <xf numFmtId="0" fontId="40" fillId="0" borderId="105" xfId="26" applyFont="1" applyBorder="1" applyAlignment="1">
      <alignment vertical="center"/>
    </xf>
    <xf numFmtId="4" fontId="40" fillId="0" borderId="105" xfId="26" applyNumberFormat="1" applyFont="1" applyBorder="1" applyAlignment="1">
      <alignment vertical="center"/>
    </xf>
    <xf numFmtId="0" fontId="41" fillId="0" borderId="100" xfId="26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176" fontId="40" fillId="0" borderId="94" xfId="26" applyNumberFormat="1" applyFont="1" applyBorder="1" applyAlignment="1">
      <alignment horizontal="right" vertical="center"/>
    </xf>
    <xf numFmtId="176" fontId="40" fillId="0" borderId="102" xfId="26" applyNumberFormat="1" applyFont="1" applyBorder="1" applyAlignment="1">
      <alignment horizontal="center" vertical="center"/>
    </xf>
    <xf numFmtId="4" fontId="40" fillId="0" borderId="102" xfId="26" applyNumberFormat="1" applyFont="1" applyBorder="1" applyAlignment="1">
      <alignment vertical="center"/>
    </xf>
    <xf numFmtId="0" fontId="40" fillId="0" borderId="116" xfId="26" applyFont="1" applyBorder="1" applyAlignment="1">
      <alignment vertical="center"/>
    </xf>
    <xf numFmtId="0" fontId="33" fillId="0" borderId="0" xfId="26" applyFont="1" applyAlignment="1">
      <alignment horizontal="left" vertical="center" wrapText="1"/>
    </xf>
    <xf numFmtId="0" fontId="33" fillId="0" borderId="0" xfId="26" applyFont="1" applyAlignment="1">
      <alignment horizontal="center" vertical="center" wrapText="1"/>
    </xf>
    <xf numFmtId="0" fontId="41" fillId="0" borderId="0" xfId="26" applyFont="1" applyAlignment="1">
      <alignment horizontal="center" vertical="center" textRotation="90"/>
    </xf>
    <xf numFmtId="3" fontId="40" fillId="0" borderId="0" xfId="26" applyNumberFormat="1" applyFont="1" applyAlignment="1">
      <alignment vertical="center"/>
    </xf>
    <xf numFmtId="0" fontId="41" fillId="0" borderId="0" xfId="26" applyFont="1" applyAlignment="1">
      <alignment horizontal="right" vertical="center"/>
    </xf>
    <xf numFmtId="183" fontId="36" fillId="0" borderId="0" xfId="26" applyNumberFormat="1" applyFont="1" applyAlignment="1">
      <alignment vertical="center"/>
    </xf>
    <xf numFmtId="181" fontId="54" fillId="0" borderId="92" xfId="26" applyNumberFormat="1" applyFont="1" applyBorder="1" applyAlignment="1">
      <alignment horizontal="center" vertical="center"/>
    </xf>
    <xf numFmtId="0" fontId="69" fillId="0" borderId="91" xfId="26" applyFont="1" applyBorder="1" applyAlignment="1">
      <alignment horizontal="center" vertical="center"/>
    </xf>
    <xf numFmtId="0" fontId="69" fillId="0" borderId="7" xfId="26" applyFont="1" applyBorder="1" applyAlignment="1">
      <alignment vertical="center"/>
    </xf>
    <xf numFmtId="0" fontId="69" fillId="0" borderId="1" xfId="26" applyFont="1" applyBorder="1" applyAlignment="1">
      <alignment vertical="center"/>
    </xf>
    <xf numFmtId="0" fontId="69" fillId="0" borderId="92" xfId="26" applyFont="1" applyBorder="1" applyAlignment="1">
      <alignment horizontal="center" vertical="center"/>
    </xf>
    <xf numFmtId="0" fontId="54" fillId="0" borderId="92" xfId="26" applyFont="1" applyBorder="1" applyAlignment="1">
      <alignment vertical="center"/>
    </xf>
    <xf numFmtId="0" fontId="69" fillId="0" borderId="106" xfId="26" applyFont="1" applyBorder="1" applyAlignment="1">
      <alignment horizontal="center" vertical="center"/>
    </xf>
    <xf numFmtId="0" fontId="54" fillId="0" borderId="106" xfId="26" applyFont="1" applyBorder="1" applyAlignment="1">
      <alignment vertical="center"/>
    </xf>
    <xf numFmtId="0" fontId="69" fillId="0" borderId="100" xfId="26" applyFont="1" applyBorder="1" applyAlignment="1">
      <alignment horizontal="center" vertical="center"/>
    </xf>
    <xf numFmtId="181" fontId="54" fillId="0" borderId="1" xfId="26" applyNumberFormat="1" applyFont="1" applyBorder="1" applyAlignment="1">
      <alignment horizontal="center" vertical="center"/>
    </xf>
    <xf numFmtId="0" fontId="69" fillId="0" borderId="93" xfId="26" applyFont="1" applyBorder="1" applyAlignment="1">
      <alignment horizontal="center" vertical="center"/>
    </xf>
    <xf numFmtId="0" fontId="54" fillId="0" borderId="105" xfId="26" applyFont="1" applyBorder="1" applyAlignment="1">
      <alignment vertical="center"/>
    </xf>
    <xf numFmtId="0" fontId="54" fillId="0" borderId="1" xfId="26" applyFont="1" applyBorder="1" applyAlignment="1">
      <alignment vertical="center"/>
    </xf>
    <xf numFmtId="0" fontId="54" fillId="0" borderId="1" xfId="26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61" fillId="0" borderId="16" xfId="5" applyFont="1" applyBorder="1" applyAlignment="1">
      <alignment horizontal="left" vertical="center" wrapText="1"/>
    </xf>
    <xf numFmtId="166" fontId="61" fillId="0" borderId="35" xfId="1" applyFont="1" applyFill="1" applyBorder="1" applyAlignment="1">
      <alignment vertical="center"/>
    </xf>
    <xf numFmtId="10" fontId="61" fillId="0" borderId="74" xfId="5" applyNumberFormat="1" applyFont="1" applyBorder="1" applyAlignment="1">
      <alignment vertical="center"/>
    </xf>
    <xf numFmtId="171" fontId="61" fillId="0" borderId="39" xfId="8" applyNumberFormat="1" applyFont="1" applyFill="1" applyBorder="1" applyAlignment="1">
      <alignment vertical="center"/>
    </xf>
    <xf numFmtId="4" fontId="61" fillId="0" borderId="43" xfId="5" applyNumberFormat="1" applyFont="1" applyBorder="1" applyAlignment="1">
      <alignment horizontal="center" vertical="center"/>
    </xf>
    <xf numFmtId="10" fontId="61" fillId="0" borderId="9" xfId="5" applyNumberFormat="1" applyFont="1" applyBorder="1" applyAlignment="1">
      <alignment vertical="center"/>
    </xf>
    <xf numFmtId="171" fontId="61" fillId="0" borderId="26" xfId="8" applyNumberFormat="1" applyFont="1" applyFill="1" applyBorder="1" applyAlignment="1">
      <alignment vertical="center"/>
    </xf>
    <xf numFmtId="4" fontId="61" fillId="0" borderId="5" xfId="7" applyNumberFormat="1" applyFont="1" applyBorder="1" applyAlignment="1">
      <alignment horizontal="left" vertical="center" wrapText="1"/>
    </xf>
    <xf numFmtId="4" fontId="61" fillId="0" borderId="46" xfId="7" applyNumberFormat="1" applyFont="1" applyBorder="1" applyAlignment="1">
      <alignment horizontal="left" vertical="center" wrapText="1"/>
    </xf>
    <xf numFmtId="2" fontId="61" fillId="0" borderId="47" xfId="7" applyNumberFormat="1" applyFont="1" applyBorder="1" applyAlignment="1">
      <alignment horizontal="center" vertical="center"/>
    </xf>
    <xf numFmtId="4" fontId="61" fillId="0" borderId="47" xfId="7" applyNumberFormat="1" applyFont="1" applyBorder="1" applyAlignment="1">
      <alignment horizontal="center" vertical="center"/>
    </xf>
    <xf numFmtId="10" fontId="61" fillId="0" borderId="47" xfId="7" applyNumberFormat="1" applyFont="1" applyBorder="1" applyAlignment="1">
      <alignment horizontal="center" vertical="center"/>
    </xf>
    <xf numFmtId="0" fontId="61" fillId="0" borderId="15" xfId="5" applyFont="1" applyBorder="1" applyAlignment="1">
      <alignment vertical="center"/>
    </xf>
    <xf numFmtId="4" fontId="61" fillId="0" borderId="35" xfId="5" applyNumberFormat="1" applyFont="1" applyBorder="1" applyAlignment="1">
      <alignment horizontal="center"/>
    </xf>
    <xf numFmtId="3" fontId="61" fillId="0" borderId="35" xfId="9" applyNumberFormat="1" applyFont="1" applyBorder="1" applyAlignment="1">
      <alignment vertical="center"/>
    </xf>
    <xf numFmtId="4" fontId="61" fillId="0" borderId="0" xfId="5" applyNumberFormat="1" applyFont="1" applyAlignment="1">
      <alignment vertical="center"/>
    </xf>
    <xf numFmtId="0" fontId="74" fillId="0" borderId="0" xfId="0" applyFont="1"/>
    <xf numFmtId="4" fontId="61" fillId="0" borderId="9" xfId="5" applyNumberFormat="1" applyFont="1" applyBorder="1" applyAlignment="1">
      <alignment horizontal="center"/>
    </xf>
    <xf numFmtId="3" fontId="61" fillId="0" borderId="9" xfId="5" applyNumberFormat="1" applyFont="1" applyBorder="1" applyAlignment="1">
      <alignment vertical="center"/>
    </xf>
    <xf numFmtId="171" fontId="61" fillId="0" borderId="10" xfId="5" applyNumberFormat="1" applyFont="1" applyBorder="1" applyAlignment="1">
      <alignment vertical="center"/>
    </xf>
    <xf numFmtId="174" fontId="61" fillId="0" borderId="35" xfId="8" applyNumberFormat="1" applyFont="1" applyFill="1" applyBorder="1" applyAlignment="1">
      <alignment vertical="center"/>
    </xf>
    <xf numFmtId="166" fontId="61" fillId="0" borderId="9" xfId="1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81" fontId="40" fillId="0" borderId="98" xfId="26" applyNumberFormat="1" applyFont="1" applyBorder="1" applyAlignment="1">
      <alignment vertical="center"/>
    </xf>
    <xf numFmtId="181" fontId="40" fillId="0" borderId="83" xfId="26" applyNumberFormat="1" applyFont="1" applyBorder="1" applyAlignment="1">
      <alignment vertical="center"/>
    </xf>
    <xf numFmtId="181" fontId="36" fillId="3" borderId="107" xfId="26" applyNumberFormat="1" applyFont="1" applyFill="1" applyBorder="1" applyAlignment="1">
      <alignment vertical="center"/>
    </xf>
    <xf numFmtId="166" fontId="2" fillId="0" borderId="1" xfId="1" applyFont="1" applyBorder="1" applyAlignment="1">
      <alignment horizontal="center" vertical="center"/>
    </xf>
    <xf numFmtId="0" fontId="39" fillId="0" borderId="98" xfId="26" applyFont="1" applyBorder="1" applyAlignment="1">
      <alignment horizontal="center" vertical="center"/>
    </xf>
    <xf numFmtId="183" fontId="40" fillId="0" borderId="117" xfId="26" applyNumberFormat="1" applyFont="1" applyBorder="1" applyAlignment="1">
      <alignment vertical="center"/>
    </xf>
    <xf numFmtId="4" fontId="40" fillId="0" borderId="47" xfId="26" applyNumberFormat="1" applyFont="1" applyBorder="1" applyAlignment="1">
      <alignment vertical="center"/>
    </xf>
    <xf numFmtId="4" fontId="54" fillId="0" borderId="34" xfId="26" applyNumberFormat="1" applyFont="1" applyBorder="1" applyAlignment="1">
      <alignment vertical="center"/>
    </xf>
    <xf numFmtId="0" fontId="54" fillId="0" borderId="101" xfId="26" applyFont="1" applyBorder="1" applyAlignment="1">
      <alignment vertical="center"/>
    </xf>
    <xf numFmtId="0" fontId="26" fillId="3" borderId="92" xfId="26" applyFont="1" applyFill="1" applyBorder="1" applyAlignment="1">
      <alignment horizontal="center" vertical="center" wrapText="1"/>
    </xf>
    <xf numFmtId="0" fontId="66" fillId="0" borderId="24" xfId="7" applyFont="1" applyBorder="1" applyAlignment="1">
      <alignment horizontal="center" vertical="center" wrapText="1"/>
    </xf>
    <xf numFmtId="0" fontId="68" fillId="0" borderId="14" xfId="5" applyFont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167" fontId="5" fillId="0" borderId="11" xfId="4" applyFont="1" applyBorder="1" applyAlignment="1">
      <alignment vertical="center"/>
    </xf>
    <xf numFmtId="0" fontId="17" fillId="0" borderId="14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50" fillId="12" borderId="36" xfId="0" applyFont="1" applyFill="1" applyBorder="1" applyAlignment="1">
      <alignment vertical="center" wrapText="1"/>
    </xf>
    <xf numFmtId="1" fontId="53" fillId="0" borderId="36" xfId="1" applyNumberFormat="1" applyFont="1" applyFill="1" applyBorder="1" applyAlignment="1">
      <alignment horizontal="left" vertical="center" wrapText="1"/>
    </xf>
    <xf numFmtId="0" fontId="53" fillId="0" borderId="36" xfId="0" applyFont="1" applyBorder="1" applyAlignment="1">
      <alignment horizontal="left" vertical="center" wrapText="1"/>
    </xf>
    <xf numFmtId="0" fontId="7" fillId="4" borderId="5" xfId="0" applyFont="1" applyFill="1" applyBorder="1" applyAlignment="1">
      <alignment horizontal="center" vertical="center"/>
    </xf>
    <xf numFmtId="166" fontId="7" fillId="4" borderId="6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8" fontId="2" fillId="0" borderId="6" xfId="1" applyNumberFormat="1" applyFont="1" applyFill="1" applyBorder="1" applyAlignment="1">
      <alignment horizontal="center" vertical="center"/>
    </xf>
    <xf numFmtId="166" fontId="57" fillId="0" borderId="6" xfId="1" applyFont="1" applyBorder="1" applyAlignment="1">
      <alignment horizontal="center" vertical="center"/>
    </xf>
    <xf numFmtId="166" fontId="2" fillId="0" borderId="6" xfId="1" applyFont="1" applyFill="1" applyBorder="1" applyAlignment="1">
      <alignment horizontal="center" vertical="center"/>
    </xf>
    <xf numFmtId="166" fontId="57" fillId="0" borderId="6" xfId="1" applyFont="1" applyFill="1" applyBorder="1" applyAlignment="1">
      <alignment horizontal="center" vertical="center"/>
    </xf>
    <xf numFmtId="166" fontId="7" fillId="0" borderId="6" xfId="1" applyFont="1" applyBorder="1" applyAlignment="1">
      <alignment horizontal="center" vertical="center"/>
    </xf>
    <xf numFmtId="166" fontId="7" fillId="0" borderId="6" xfId="1" applyFont="1" applyFill="1" applyBorder="1" applyAlignment="1">
      <alignment horizontal="center" vertical="center"/>
    </xf>
    <xf numFmtId="168" fontId="58" fillId="0" borderId="6" xfId="1" applyNumberFormat="1" applyFont="1" applyBorder="1" applyAlignment="1">
      <alignment vertical="center"/>
    </xf>
    <xf numFmtId="169" fontId="58" fillId="0" borderId="6" xfId="1" applyNumberFormat="1" applyFont="1" applyBorder="1" applyAlignment="1">
      <alignment vertical="center"/>
    </xf>
    <xf numFmtId="168" fontId="58" fillId="0" borderId="10" xfId="1" applyNumberFormat="1" applyFont="1" applyBorder="1" applyAlignment="1">
      <alignment vertical="center"/>
    </xf>
    <xf numFmtId="0" fontId="32" fillId="2" borderId="0" xfId="26" applyFont="1" applyFill="1" applyAlignment="1">
      <alignment vertical="center"/>
    </xf>
    <xf numFmtId="0" fontId="59" fillId="0" borderId="0" xfId="26" applyFont="1" applyAlignment="1">
      <alignment vertical="center"/>
    </xf>
    <xf numFmtId="0" fontId="27" fillId="0" borderId="15" xfId="26" applyFont="1" applyBorder="1"/>
    <xf numFmtId="0" fontId="70" fillId="0" borderId="0" xfId="26" applyFont="1" applyAlignment="1">
      <alignment vertical="center"/>
    </xf>
    <xf numFmtId="0" fontId="69" fillId="0" borderId="0" xfId="26" applyFont="1" applyAlignment="1">
      <alignment vertical="center"/>
    </xf>
    <xf numFmtId="0" fontId="54" fillId="0" borderId="0" xfId="26" applyFont="1" applyAlignment="1">
      <alignment horizontal="center" vertical="center" textRotation="180"/>
    </xf>
    <xf numFmtId="0" fontId="56" fillId="0" borderId="15" xfId="26" applyFont="1" applyBorder="1"/>
    <xf numFmtId="10" fontId="61" fillId="0" borderId="74" xfId="2" applyNumberFormat="1" applyFont="1" applyFill="1" applyBorder="1" applyAlignment="1">
      <alignment vertical="center"/>
    </xf>
    <xf numFmtId="9" fontId="61" fillId="0" borderId="74" xfId="2" applyFont="1" applyFill="1" applyBorder="1" applyAlignment="1">
      <alignment vertical="center"/>
    </xf>
    <xf numFmtId="4" fontId="61" fillId="0" borderId="74" xfId="11" applyNumberFormat="1" applyFont="1" applyBorder="1" applyAlignment="1">
      <alignment vertical="center"/>
    </xf>
    <xf numFmtId="0" fontId="52" fillId="3" borderId="3" xfId="0" applyFont="1" applyFill="1" applyBorder="1" applyAlignment="1">
      <alignment horizontal="left" vertical="center" wrapText="1"/>
    </xf>
    <xf numFmtId="0" fontId="52" fillId="3" borderId="11" xfId="0" applyFont="1" applyFill="1" applyBorder="1" applyAlignment="1">
      <alignment horizontal="left" vertical="center" wrapText="1"/>
    </xf>
    <xf numFmtId="0" fontId="63" fillId="3" borderId="65" xfId="0" applyFont="1" applyFill="1" applyBorder="1" applyAlignment="1">
      <alignment horizontal="center" vertical="center"/>
    </xf>
    <xf numFmtId="0" fontId="63" fillId="3" borderId="2" xfId="0" applyFont="1" applyFill="1" applyBorder="1" applyAlignment="1">
      <alignment horizontal="center" vertical="center"/>
    </xf>
    <xf numFmtId="0" fontId="63" fillId="3" borderId="2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14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8" fillId="0" borderId="5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1" fillId="0" borderId="3" xfId="0" applyFont="1" applyBorder="1" applyAlignment="1">
      <alignment horizontal="left" vertical="center" wrapText="1"/>
    </xf>
    <xf numFmtId="0" fontId="51" fillId="0" borderId="75" xfId="0" applyFont="1" applyBorder="1" applyAlignment="1">
      <alignment horizontal="left" vertical="center" wrapText="1"/>
    </xf>
    <xf numFmtId="0" fontId="51" fillId="0" borderId="4" xfId="0" applyFont="1" applyBorder="1" applyAlignment="1">
      <alignment horizontal="left" vertical="center" wrapText="1"/>
    </xf>
    <xf numFmtId="0" fontId="8" fillId="11" borderId="65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 wrapText="1"/>
    </xf>
    <xf numFmtId="0" fontId="18" fillId="11" borderId="69" xfId="0" applyFont="1" applyFill="1" applyBorder="1" applyAlignment="1">
      <alignment horizontal="center" vertical="center" wrapText="1"/>
    </xf>
    <xf numFmtId="0" fontId="18" fillId="11" borderId="20" xfId="0" applyFont="1" applyFill="1" applyBorder="1" applyAlignment="1">
      <alignment horizontal="center" vertical="center" wrapText="1"/>
    </xf>
    <xf numFmtId="0" fontId="18" fillId="11" borderId="21" xfId="0" applyFont="1" applyFill="1" applyBorder="1" applyAlignment="1">
      <alignment horizontal="center" vertical="center" wrapText="1"/>
    </xf>
    <xf numFmtId="0" fontId="50" fillId="12" borderId="3" xfId="0" applyFont="1" applyFill="1" applyBorder="1" applyAlignment="1">
      <alignment horizontal="left" vertical="center" wrapText="1"/>
    </xf>
    <xf numFmtId="0" fontId="50" fillId="12" borderId="75" xfId="0" applyFont="1" applyFill="1" applyBorder="1" applyAlignment="1">
      <alignment horizontal="left" vertical="center" wrapText="1"/>
    </xf>
    <xf numFmtId="0" fontId="50" fillId="12" borderId="11" xfId="0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left" vertical="center" wrapText="1"/>
    </xf>
    <xf numFmtId="0" fontId="53" fillId="0" borderId="75" xfId="0" applyFont="1" applyBorder="1" applyAlignment="1">
      <alignment horizontal="left" vertical="center" wrapText="1"/>
    </xf>
    <xf numFmtId="0" fontId="53" fillId="0" borderId="1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8" fillId="0" borderId="8" xfId="0" applyFont="1" applyBorder="1" applyAlignment="1">
      <alignment horizontal="center" vertical="center"/>
    </xf>
    <xf numFmtId="0" fontId="58" fillId="0" borderId="43" xfId="0" applyFont="1" applyBorder="1" applyAlignment="1">
      <alignment horizontal="center" vertical="center"/>
    </xf>
    <xf numFmtId="0" fontId="58" fillId="0" borderId="9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35" fillId="3" borderId="3" xfId="0" applyFont="1" applyFill="1" applyBorder="1" applyAlignment="1">
      <alignment horizontal="center" vertical="center"/>
    </xf>
    <xf numFmtId="0" fontId="35" fillId="3" borderId="75" xfId="0" applyFont="1" applyFill="1" applyBorder="1" applyAlignment="1">
      <alignment horizontal="center" vertical="center"/>
    </xf>
    <xf numFmtId="0" fontId="35" fillId="3" borderId="4" xfId="0" applyFont="1" applyFill="1" applyBorder="1" applyAlignment="1">
      <alignment horizontal="center" vertical="center"/>
    </xf>
    <xf numFmtId="0" fontId="58" fillId="3" borderId="5" xfId="0" applyFont="1" applyFill="1" applyBorder="1" applyAlignment="1">
      <alignment horizontal="center" vertical="center"/>
    </xf>
    <xf numFmtId="0" fontId="58" fillId="3" borderId="1" xfId="0" applyFont="1" applyFill="1" applyBorder="1" applyAlignment="1">
      <alignment horizontal="center" vertical="center"/>
    </xf>
    <xf numFmtId="0" fontId="58" fillId="3" borderId="6" xfId="0" applyFont="1" applyFill="1" applyBorder="1" applyAlignment="1">
      <alignment horizontal="center" vertical="center"/>
    </xf>
    <xf numFmtId="0" fontId="75" fillId="0" borderId="69" xfId="0" applyFont="1" applyBorder="1" applyAlignment="1">
      <alignment horizontal="center" vertical="top" wrapText="1"/>
    </xf>
    <xf numFmtId="0" fontId="75" fillId="0" borderId="20" xfId="0" applyFont="1" applyBorder="1" applyAlignment="1">
      <alignment horizontal="center" vertical="top" wrapText="1"/>
    </xf>
    <xf numFmtId="0" fontId="75" fillId="0" borderId="21" xfId="0" applyFont="1" applyBorder="1" applyAlignment="1">
      <alignment horizontal="center" vertical="top" wrapText="1"/>
    </xf>
    <xf numFmtId="0" fontId="75" fillId="0" borderId="15" xfId="0" applyFont="1" applyBorder="1" applyAlignment="1">
      <alignment horizontal="center" vertical="top" wrapText="1"/>
    </xf>
    <xf numFmtId="0" fontId="75" fillId="0" borderId="0" xfId="0" applyFont="1" applyAlignment="1">
      <alignment horizontal="center" vertical="top" wrapText="1"/>
    </xf>
    <xf numFmtId="0" fontId="75" fillId="0" borderId="63" xfId="0" applyFont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7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63" fillId="3" borderId="5" xfId="0" applyFont="1" applyFill="1" applyBorder="1" applyAlignment="1">
      <alignment horizontal="center" vertical="center"/>
    </xf>
    <xf numFmtId="0" fontId="63" fillId="3" borderId="11" xfId="0" applyFont="1" applyFill="1" applyBorder="1" applyAlignment="1">
      <alignment horizontal="center" vertical="center"/>
    </xf>
    <xf numFmtId="0" fontId="63" fillId="3" borderId="1" xfId="0" applyFont="1" applyFill="1" applyBorder="1" applyAlignment="1">
      <alignment horizontal="center" vertical="center"/>
    </xf>
    <xf numFmtId="0" fontId="63" fillId="3" borderId="6" xfId="0" applyFont="1" applyFill="1" applyBorder="1" applyAlignment="1">
      <alignment horizontal="center" vertical="center"/>
    </xf>
    <xf numFmtId="0" fontId="63" fillId="0" borderId="5" xfId="0" applyFont="1" applyBorder="1" applyAlignment="1">
      <alignment horizontal="right" vertical="center"/>
    </xf>
    <xf numFmtId="0" fontId="63" fillId="0" borderId="1" xfId="0" applyFont="1" applyBorder="1" applyAlignment="1">
      <alignment horizontal="right" vertical="center"/>
    </xf>
    <xf numFmtId="0" fontId="58" fillId="0" borderId="11" xfId="0" applyFont="1" applyBorder="1" applyAlignment="1">
      <alignment horizontal="center" vertical="center"/>
    </xf>
    <xf numFmtId="0" fontId="29" fillId="2" borderId="14" xfId="26" applyFont="1" applyFill="1" applyBorder="1" applyAlignment="1">
      <alignment horizontal="center"/>
    </xf>
    <xf numFmtId="0" fontId="29" fillId="2" borderId="48" xfId="26" applyFont="1" applyFill="1" applyBorder="1" applyAlignment="1">
      <alignment horizontal="center"/>
    </xf>
    <xf numFmtId="0" fontId="29" fillId="2" borderId="0" xfId="26" applyFont="1" applyFill="1" applyAlignment="1">
      <alignment horizontal="center"/>
    </xf>
    <xf numFmtId="0" fontId="29" fillId="2" borderId="63" xfId="26" applyFont="1" applyFill="1" applyBorder="1" applyAlignment="1">
      <alignment horizontal="center"/>
    </xf>
    <xf numFmtId="0" fontId="47" fillId="2" borderId="37" xfId="26" applyFont="1" applyFill="1" applyBorder="1" applyAlignment="1">
      <alignment horizontal="center" vertical="center" wrapText="1"/>
    </xf>
    <xf numFmtId="0" fontId="47" fillId="2" borderId="25" xfId="26" applyFont="1" applyFill="1" applyBorder="1" applyAlignment="1">
      <alignment horizontal="center" vertical="center" wrapText="1"/>
    </xf>
    <xf numFmtId="0" fontId="47" fillId="2" borderId="43" xfId="26" applyFont="1" applyFill="1" applyBorder="1" applyAlignment="1">
      <alignment horizontal="center" vertical="center" wrapText="1"/>
    </xf>
    <xf numFmtId="0" fontId="47" fillId="2" borderId="24" xfId="26" applyFont="1" applyFill="1" applyBorder="1" applyAlignment="1">
      <alignment horizontal="center" vertical="center" wrapText="1"/>
    </xf>
    <xf numFmtId="0" fontId="47" fillId="2" borderId="26" xfId="26" applyFont="1" applyFill="1" applyBorder="1" applyAlignment="1">
      <alignment horizontal="center" vertical="center" wrapText="1"/>
    </xf>
    <xf numFmtId="0" fontId="38" fillId="9" borderId="97" xfId="26" applyFont="1" applyFill="1" applyBorder="1" applyAlignment="1">
      <alignment horizontal="center" vertical="center"/>
    </xf>
    <xf numFmtId="0" fontId="12" fillId="0" borderId="95" xfId="26" applyFont="1" applyBorder="1" applyAlignment="1">
      <alignment vertical="center"/>
    </xf>
    <xf numFmtId="0" fontId="12" fillId="0" borderId="94" xfId="26" applyFont="1" applyBorder="1" applyAlignment="1">
      <alignment vertical="center"/>
    </xf>
    <xf numFmtId="0" fontId="41" fillId="10" borderId="97" xfId="26" applyFont="1" applyFill="1" applyBorder="1" applyAlignment="1">
      <alignment horizontal="left" vertical="center"/>
    </xf>
    <xf numFmtId="170" fontId="34" fillId="0" borderId="93" xfId="26" applyNumberFormat="1" applyFont="1" applyBorder="1" applyAlignment="1">
      <alignment horizontal="center" vertical="center"/>
    </xf>
    <xf numFmtId="170" fontId="34" fillId="0" borderId="95" xfId="26" applyNumberFormat="1" applyFont="1" applyBorder="1" applyAlignment="1">
      <alignment horizontal="center" vertical="center"/>
    </xf>
    <xf numFmtId="170" fontId="34" fillId="0" borderId="94" xfId="26" applyNumberFormat="1" applyFont="1" applyBorder="1" applyAlignment="1">
      <alignment horizontal="center" vertical="center"/>
    </xf>
    <xf numFmtId="0" fontId="41" fillId="9" borderId="100" xfId="26" applyFont="1" applyFill="1" applyBorder="1" applyAlignment="1">
      <alignment horizontal="center" vertical="center" textRotation="90"/>
    </xf>
    <xf numFmtId="0" fontId="12" fillId="0" borderId="101" xfId="26" applyFont="1" applyBorder="1" applyAlignment="1">
      <alignment vertical="center"/>
    </xf>
    <xf numFmtId="0" fontId="12" fillId="0" borderId="105" xfId="26" applyFont="1" applyBorder="1" applyAlignment="1">
      <alignment vertical="center"/>
    </xf>
    <xf numFmtId="0" fontId="26" fillId="9" borderId="100" xfId="26" applyFont="1" applyFill="1" applyBorder="1" applyAlignment="1">
      <alignment horizontal="center" vertical="center"/>
    </xf>
    <xf numFmtId="0" fontId="12" fillId="0" borderId="102" xfId="26" applyFont="1" applyBorder="1" applyAlignment="1">
      <alignment vertical="center"/>
    </xf>
    <xf numFmtId="0" fontId="26" fillId="9" borderId="93" xfId="26" applyFont="1" applyFill="1" applyBorder="1" applyAlignment="1">
      <alignment horizontal="center" vertical="center"/>
    </xf>
    <xf numFmtId="0" fontId="26" fillId="9" borderId="100" xfId="26" applyFont="1" applyFill="1" applyBorder="1" applyAlignment="1">
      <alignment horizontal="center" vertical="center" wrapText="1"/>
    </xf>
    <xf numFmtId="0" fontId="42" fillId="9" borderId="100" xfId="26" applyFont="1" applyFill="1" applyBorder="1" applyAlignment="1">
      <alignment horizontal="center" vertical="center" wrapText="1"/>
    </xf>
    <xf numFmtId="0" fontId="30" fillId="0" borderId="13" xfId="26" applyFont="1" applyBorder="1" applyAlignment="1">
      <alignment horizontal="center" vertical="center" wrapText="1"/>
    </xf>
    <xf numFmtId="0" fontId="30" fillId="0" borderId="14" xfId="26" applyFont="1" applyBorder="1" applyAlignment="1">
      <alignment horizontal="center" vertical="center" wrapText="1"/>
    </xf>
    <xf numFmtId="0" fontId="30" fillId="0" borderId="78" xfId="26" applyFont="1" applyBorder="1" applyAlignment="1">
      <alignment horizontal="center" vertical="center" wrapText="1"/>
    </xf>
    <xf numFmtId="0" fontId="30" fillId="0" borderId="15" xfId="26" applyFont="1" applyBorder="1" applyAlignment="1">
      <alignment horizontal="center" vertical="center" wrapText="1"/>
    </xf>
    <xf numFmtId="0" fontId="30" fillId="0" borderId="0" xfId="26" applyFont="1" applyAlignment="1">
      <alignment horizontal="center" vertical="center" wrapText="1"/>
    </xf>
    <xf numFmtId="0" fontId="30" fillId="0" borderId="81" xfId="26" applyFont="1" applyBorder="1" applyAlignment="1">
      <alignment horizontal="center" vertical="center" wrapText="1"/>
    </xf>
    <xf numFmtId="0" fontId="30" fillId="0" borderId="84" xfId="26" applyFont="1" applyBorder="1" applyAlignment="1">
      <alignment horizontal="center" vertical="center" wrapText="1"/>
    </xf>
    <xf numFmtId="0" fontId="30" fillId="0" borderId="85" xfId="26" applyFont="1" applyBorder="1" applyAlignment="1">
      <alignment horizontal="center" vertical="center" wrapText="1"/>
    </xf>
    <xf numFmtId="0" fontId="30" fillId="0" borderId="86" xfId="26" applyFont="1" applyBorder="1" applyAlignment="1">
      <alignment horizontal="center" vertical="center" wrapText="1"/>
    </xf>
    <xf numFmtId="49" fontId="25" fillId="6" borderId="79" xfId="26" applyNumberFormat="1" applyFont="1" applyFill="1" applyBorder="1" applyAlignment="1">
      <alignment horizontal="center" vertical="center"/>
    </xf>
    <xf numFmtId="49" fontId="25" fillId="6" borderId="14" xfId="26" applyNumberFormat="1" applyFont="1" applyFill="1" applyBorder="1" applyAlignment="1">
      <alignment horizontal="center" vertical="center"/>
    </xf>
    <xf numFmtId="49" fontId="25" fillId="6" borderId="78" xfId="26" applyNumberFormat="1" applyFont="1" applyFill="1" applyBorder="1" applyAlignment="1">
      <alignment horizontal="center" vertical="center"/>
    </xf>
    <xf numFmtId="49" fontId="25" fillId="6" borderId="82" xfId="26" applyNumberFormat="1" applyFont="1" applyFill="1" applyBorder="1" applyAlignment="1">
      <alignment horizontal="center" vertical="center"/>
    </xf>
    <xf numFmtId="49" fontId="25" fillId="6" borderId="0" xfId="26" applyNumberFormat="1" applyFont="1" applyFill="1" applyAlignment="1">
      <alignment horizontal="center" vertical="center"/>
    </xf>
    <xf numFmtId="49" fontId="25" fillId="6" borderId="81" xfId="26" applyNumberFormat="1" applyFont="1" applyFill="1" applyBorder="1" applyAlignment="1">
      <alignment horizontal="center" vertical="center"/>
    </xf>
    <xf numFmtId="49" fontId="25" fillId="6" borderId="87" xfId="26" applyNumberFormat="1" applyFont="1" applyFill="1" applyBorder="1" applyAlignment="1">
      <alignment horizontal="center" vertical="center"/>
    </xf>
    <xf numFmtId="49" fontId="25" fillId="6" borderId="85" xfId="26" applyNumberFormat="1" applyFont="1" applyFill="1" applyBorder="1" applyAlignment="1">
      <alignment horizontal="center" vertical="center"/>
    </xf>
    <xf numFmtId="49" fontId="25" fillId="6" borderId="86" xfId="26" applyNumberFormat="1" applyFont="1" applyFill="1" applyBorder="1" applyAlignment="1">
      <alignment horizontal="center" vertical="center"/>
    </xf>
    <xf numFmtId="0" fontId="32" fillId="2" borderId="97" xfId="26" applyFont="1" applyFill="1" applyBorder="1" applyAlignment="1">
      <alignment horizontal="center" vertical="center"/>
    </xf>
    <xf numFmtId="0" fontId="32" fillId="2" borderId="95" xfId="26" applyFont="1" applyFill="1" applyBorder="1" applyAlignment="1">
      <alignment horizontal="center" vertical="center"/>
    </xf>
    <xf numFmtId="0" fontId="34" fillId="0" borderId="88" xfId="26" applyFont="1" applyBorder="1" applyAlignment="1">
      <alignment horizontal="center" vertical="center" wrapText="1"/>
    </xf>
    <xf numFmtId="0" fontId="12" fillId="0" borderId="89" xfId="26" applyFont="1" applyBorder="1" applyAlignment="1">
      <alignment vertical="center"/>
    </xf>
    <xf numFmtId="0" fontId="12" fillId="0" borderId="90" xfId="26" applyFont="1" applyBorder="1" applyAlignment="1">
      <alignment vertical="center"/>
    </xf>
    <xf numFmtId="0" fontId="12" fillId="0" borderId="84" xfId="26" applyFont="1" applyBorder="1" applyAlignment="1">
      <alignment vertical="center"/>
    </xf>
    <xf numFmtId="0" fontId="12" fillId="0" borderId="85" xfId="26" applyFont="1" applyBorder="1" applyAlignment="1">
      <alignment vertical="center"/>
    </xf>
    <xf numFmtId="0" fontId="12" fillId="0" borderId="86" xfId="26" applyFont="1" applyBorder="1" applyAlignment="1">
      <alignment vertical="center"/>
    </xf>
    <xf numFmtId="0" fontId="34" fillId="0" borderId="91" xfId="26" applyFont="1" applyBorder="1" applyAlignment="1">
      <alignment horizontal="center" vertical="center" wrapText="1"/>
    </xf>
    <xf numFmtId="0" fontId="12" fillId="0" borderId="87" xfId="26" applyFont="1" applyBorder="1" applyAlignment="1">
      <alignment vertical="center"/>
    </xf>
    <xf numFmtId="0" fontId="35" fillId="7" borderId="91" xfId="26" applyFont="1" applyFill="1" applyBorder="1" applyAlignment="1">
      <alignment horizontal="center" vertical="center" wrapText="1"/>
    </xf>
    <xf numFmtId="0" fontId="33" fillId="0" borderId="93" xfId="26" applyFont="1" applyBorder="1" applyAlignment="1">
      <alignment horizontal="center" vertical="center" wrapText="1"/>
    </xf>
    <xf numFmtId="0" fontId="34" fillId="0" borderId="93" xfId="26" applyFont="1" applyBorder="1" applyAlignment="1">
      <alignment horizontal="left" vertical="center"/>
    </xf>
    <xf numFmtId="0" fontId="12" fillId="0" borderId="96" xfId="26" applyFont="1" applyBorder="1" applyAlignment="1">
      <alignment vertical="center"/>
    </xf>
    <xf numFmtId="0" fontId="47" fillId="2" borderId="13" xfId="26" applyFont="1" applyFill="1" applyBorder="1" applyAlignment="1">
      <alignment horizontal="center" vertical="center" wrapText="1"/>
    </xf>
    <xf numFmtId="0" fontId="47" fillId="2" borderId="14" xfId="26" applyFont="1" applyFill="1" applyBorder="1" applyAlignment="1">
      <alignment horizontal="center" vertical="center" wrapText="1"/>
    </xf>
    <xf numFmtId="0" fontId="47" fillId="2" borderId="114" xfId="26" applyFont="1" applyFill="1" applyBorder="1" applyAlignment="1">
      <alignment horizontal="center" vertical="center" wrapText="1"/>
    </xf>
    <xf numFmtId="0" fontId="47" fillId="2" borderId="15" xfId="26" applyFont="1" applyFill="1" applyBorder="1" applyAlignment="1">
      <alignment horizontal="center" vertical="center" wrapText="1"/>
    </xf>
    <xf numFmtId="0" fontId="47" fillId="2" borderId="0" xfId="26" applyFont="1" applyFill="1" applyAlignment="1">
      <alignment horizontal="center" vertical="center" wrapText="1"/>
    </xf>
    <xf numFmtId="0" fontId="47" fillId="2" borderId="76" xfId="26" applyFont="1" applyFill="1" applyBorder="1" applyAlignment="1">
      <alignment horizontal="center" vertical="center" wrapText="1"/>
    </xf>
    <xf numFmtId="0" fontId="47" fillId="2" borderId="65" xfId="26" applyFont="1" applyFill="1" applyBorder="1" applyAlignment="1">
      <alignment horizontal="center" vertical="center" wrapText="1"/>
    </xf>
    <xf numFmtId="0" fontId="47" fillId="2" borderId="2" xfId="26" applyFont="1" applyFill="1" applyBorder="1" applyAlignment="1">
      <alignment horizontal="center" vertical="center" wrapText="1"/>
    </xf>
    <xf numFmtId="0" fontId="47" fillId="2" borderId="12" xfId="26" applyFont="1" applyFill="1" applyBorder="1" applyAlignment="1">
      <alignment horizontal="center" vertical="center" wrapText="1"/>
    </xf>
    <xf numFmtId="4" fontId="26" fillId="9" borderId="98" xfId="26" applyNumberFormat="1" applyFont="1" applyFill="1" applyBorder="1" applyAlignment="1">
      <alignment horizontal="center" vertical="center" wrapText="1"/>
    </xf>
    <xf numFmtId="0" fontId="12" fillId="0" borderId="99" xfId="26" applyFont="1" applyBorder="1" applyAlignment="1">
      <alignment vertical="center"/>
    </xf>
    <xf numFmtId="0" fontId="41" fillId="10" borderId="88" xfId="26" applyFont="1" applyFill="1" applyBorder="1" applyAlignment="1">
      <alignment horizontal="left" vertical="center" wrapText="1"/>
    </xf>
    <xf numFmtId="170" fontId="33" fillId="0" borderId="91" xfId="26" applyNumberFormat="1" applyFont="1" applyBorder="1" applyAlignment="1">
      <alignment horizontal="center" vertical="center" wrapText="1"/>
    </xf>
    <xf numFmtId="170" fontId="12" fillId="0" borderId="90" xfId="26" applyNumberFormat="1" applyFont="1" applyBorder="1" applyAlignment="1">
      <alignment vertical="center"/>
    </xf>
    <xf numFmtId="0" fontId="39" fillId="0" borderId="93" xfId="26" applyFont="1" applyBorder="1" applyAlignment="1">
      <alignment horizontal="center" vertical="center"/>
    </xf>
    <xf numFmtId="0" fontId="39" fillId="0" borderId="95" xfId="26" applyFont="1" applyBorder="1" applyAlignment="1">
      <alignment horizontal="center" vertical="center"/>
    </xf>
    <xf numFmtId="0" fontId="39" fillId="0" borderId="94" xfId="26" applyFont="1" applyBorder="1" applyAlignment="1">
      <alignment horizontal="center" vertical="center"/>
    </xf>
    <xf numFmtId="0" fontId="38" fillId="9" borderId="93" xfId="26" applyFont="1" applyFill="1" applyBorder="1" applyAlignment="1">
      <alignment horizontal="center" vertical="center"/>
    </xf>
    <xf numFmtId="0" fontId="38" fillId="9" borderId="95" xfId="26" applyFont="1" applyFill="1" applyBorder="1" applyAlignment="1">
      <alignment horizontal="center" vertical="center"/>
    </xf>
    <xf numFmtId="0" fontId="38" fillId="9" borderId="94" xfId="26" applyFont="1" applyFill="1" applyBorder="1" applyAlignment="1">
      <alignment horizontal="center" vertical="center"/>
    </xf>
    <xf numFmtId="0" fontId="40" fillId="0" borderId="93" xfId="26" applyFont="1" applyBorder="1" applyAlignment="1">
      <alignment horizontal="center" vertical="center"/>
    </xf>
    <xf numFmtId="0" fontId="40" fillId="0" borderId="95" xfId="26" applyFont="1" applyBorder="1" applyAlignment="1">
      <alignment horizontal="center" vertical="center"/>
    </xf>
    <xf numFmtId="0" fontId="40" fillId="0" borderId="94" xfId="26" applyFont="1" applyBorder="1" applyAlignment="1">
      <alignment horizontal="center" vertical="center"/>
    </xf>
    <xf numFmtId="0" fontId="41" fillId="9" borderId="91" xfId="26" applyFont="1" applyFill="1" applyBorder="1" applyAlignment="1">
      <alignment horizontal="center" vertical="center"/>
    </xf>
    <xf numFmtId="0" fontId="41" fillId="9" borderId="90" xfId="26" applyFont="1" applyFill="1" applyBorder="1" applyAlignment="1">
      <alignment horizontal="center" vertical="center"/>
    </xf>
    <xf numFmtId="0" fontId="34" fillId="0" borderId="13" xfId="26" applyFont="1" applyBorder="1" applyAlignment="1">
      <alignment horizontal="center" vertical="center" wrapText="1"/>
    </xf>
    <xf numFmtId="0" fontId="34" fillId="0" borderId="14" xfId="26" applyFont="1" applyBorder="1" applyAlignment="1">
      <alignment horizontal="center" vertical="center" wrapText="1"/>
    </xf>
    <xf numFmtId="0" fontId="34" fillId="0" borderId="78" xfId="26" applyFont="1" applyBorder="1" applyAlignment="1">
      <alignment horizontal="center" vertical="center" wrapText="1"/>
    </xf>
    <xf numFmtId="0" fontId="34" fillId="0" borderId="84" xfId="26" applyFont="1" applyBorder="1" applyAlignment="1">
      <alignment horizontal="center" vertical="center" wrapText="1"/>
    </xf>
    <xf numFmtId="0" fontId="34" fillId="0" borderId="85" xfId="26" applyFont="1" applyBorder="1" applyAlignment="1">
      <alignment horizontal="center" vertical="center" wrapText="1"/>
    </xf>
    <xf numFmtId="0" fontId="34" fillId="0" borderId="86" xfId="26" applyFont="1" applyBorder="1" applyAlignment="1">
      <alignment horizontal="center" vertical="center" wrapText="1"/>
    </xf>
    <xf numFmtId="0" fontId="34" fillId="0" borderId="79" xfId="26" applyFont="1" applyBorder="1" applyAlignment="1">
      <alignment horizontal="center" vertical="center" wrapText="1"/>
    </xf>
    <xf numFmtId="0" fontId="27" fillId="0" borderId="14" xfId="26" applyFont="1" applyBorder="1" applyAlignment="1">
      <alignment vertical="center"/>
    </xf>
    <xf numFmtId="0" fontId="27" fillId="0" borderId="78" xfId="26" applyFont="1" applyBorder="1" applyAlignment="1">
      <alignment vertical="center"/>
    </xf>
    <xf numFmtId="0" fontId="27" fillId="0" borderId="87" xfId="26" applyFont="1" applyBorder="1" applyAlignment="1">
      <alignment vertical="center"/>
    </xf>
    <xf numFmtId="0" fontId="27" fillId="0" borderId="85" xfId="26" applyFont="1" applyBorder="1" applyAlignment="1">
      <alignment vertical="center"/>
    </xf>
    <xf numFmtId="0" fontId="27" fillId="0" borderId="86" xfId="26" applyFont="1" applyBorder="1" applyAlignment="1">
      <alignment vertical="center"/>
    </xf>
    <xf numFmtId="0" fontId="35" fillId="7" borderId="79" xfId="26" applyFont="1" applyFill="1" applyBorder="1" applyAlignment="1">
      <alignment horizontal="center" vertical="center" wrapText="1"/>
    </xf>
    <xf numFmtId="0" fontId="35" fillId="7" borderId="14" xfId="26" applyFont="1" applyFill="1" applyBorder="1" applyAlignment="1">
      <alignment horizontal="center" vertical="center" wrapText="1"/>
    </xf>
    <xf numFmtId="0" fontId="35" fillId="7" borderId="78" xfId="26" applyFont="1" applyFill="1" applyBorder="1" applyAlignment="1">
      <alignment horizontal="center" vertical="center" wrapText="1"/>
    </xf>
    <xf numFmtId="0" fontId="35" fillId="7" borderId="87" xfId="26" applyFont="1" applyFill="1" applyBorder="1" applyAlignment="1">
      <alignment horizontal="center" vertical="center" wrapText="1"/>
    </xf>
    <xf numFmtId="0" fontId="35" fillId="7" borderId="85" xfId="26" applyFont="1" applyFill="1" applyBorder="1" applyAlignment="1">
      <alignment horizontal="center" vertical="center" wrapText="1"/>
    </xf>
    <xf numFmtId="0" fontId="35" fillId="7" borderId="86" xfId="26" applyFont="1" applyFill="1" applyBorder="1" applyAlignment="1">
      <alignment horizontal="center" vertical="center" wrapText="1"/>
    </xf>
    <xf numFmtId="0" fontId="33" fillId="0" borderId="109" xfId="26" applyFont="1" applyBorder="1" applyAlignment="1">
      <alignment horizontal="center" vertical="center" wrapText="1"/>
    </xf>
    <xf numFmtId="0" fontId="33" fillId="0" borderId="110" xfId="26" applyFont="1" applyBorder="1" applyAlignment="1">
      <alignment horizontal="center" vertical="center" wrapText="1"/>
    </xf>
    <xf numFmtId="0" fontId="34" fillId="0" borderId="109" xfId="26" applyFont="1" applyBorder="1" applyAlignment="1">
      <alignment horizontal="left" vertical="center"/>
    </xf>
    <xf numFmtId="0" fontId="34" fillId="0" borderId="111" xfId="26" applyFont="1" applyBorder="1" applyAlignment="1">
      <alignment horizontal="left" vertical="center"/>
    </xf>
    <xf numFmtId="0" fontId="34" fillId="0" borderId="112" xfId="26" applyFont="1" applyBorder="1" applyAlignment="1">
      <alignment horizontal="left" vertical="center"/>
    </xf>
    <xf numFmtId="0" fontId="36" fillId="0" borderId="93" xfId="26" applyFont="1" applyBorder="1" applyAlignment="1">
      <alignment horizontal="center" vertical="center" wrapText="1"/>
    </xf>
    <xf numFmtId="0" fontId="36" fillId="0" borderId="94" xfId="26" applyFont="1" applyBorder="1" applyAlignment="1">
      <alignment horizontal="center" vertical="center" wrapText="1"/>
    </xf>
    <xf numFmtId="0" fontId="37" fillId="8" borderId="93" xfId="26" applyFont="1" applyFill="1" applyBorder="1" applyAlignment="1">
      <alignment horizontal="left" vertical="center"/>
    </xf>
    <xf numFmtId="0" fontId="37" fillId="8" borderId="95" xfId="26" applyFont="1" applyFill="1" applyBorder="1" applyAlignment="1">
      <alignment horizontal="left" vertical="center"/>
    </xf>
    <xf numFmtId="0" fontId="37" fillId="8" borderId="96" xfId="26" applyFont="1" applyFill="1" applyBorder="1" applyAlignment="1">
      <alignment horizontal="left" vertical="center"/>
    </xf>
    <xf numFmtId="4" fontId="26" fillId="9" borderId="99" xfId="26" applyNumberFormat="1" applyFont="1" applyFill="1" applyBorder="1" applyAlignment="1">
      <alignment horizontal="center" vertical="center" wrapText="1"/>
    </xf>
    <xf numFmtId="0" fontId="41" fillId="10" borderId="97" xfId="26" applyFont="1" applyFill="1" applyBorder="1" applyAlignment="1">
      <alignment horizontal="left" vertical="center" wrapText="1"/>
    </xf>
    <xf numFmtId="0" fontId="41" fillId="10" borderId="95" xfId="26" applyFont="1" applyFill="1" applyBorder="1" applyAlignment="1">
      <alignment horizontal="left" vertical="center" wrapText="1"/>
    </xf>
    <xf numFmtId="0" fontId="41" fillId="10" borderId="94" xfId="26" applyFont="1" applyFill="1" applyBorder="1" applyAlignment="1">
      <alignment horizontal="left" vertical="center" wrapText="1"/>
    </xf>
    <xf numFmtId="170" fontId="33" fillId="0" borderId="93" xfId="26" applyNumberFormat="1" applyFont="1" applyBorder="1" applyAlignment="1">
      <alignment horizontal="center" vertical="center" wrapText="1"/>
    </xf>
    <xf numFmtId="170" fontId="33" fillId="0" borderId="94" xfId="26" applyNumberFormat="1" applyFont="1" applyBorder="1" applyAlignment="1">
      <alignment horizontal="center" vertical="center" wrapText="1"/>
    </xf>
    <xf numFmtId="0" fontId="33" fillId="0" borderId="93" xfId="26" applyFont="1" applyBorder="1" applyAlignment="1">
      <alignment horizontal="left" vertical="center" wrapText="1"/>
    </xf>
    <xf numFmtId="0" fontId="33" fillId="0" borderId="95" xfId="26" applyFont="1" applyBorder="1" applyAlignment="1">
      <alignment horizontal="left" vertical="center" wrapText="1"/>
    </xf>
    <xf numFmtId="0" fontId="33" fillId="0" borderId="94" xfId="26" applyFont="1" applyBorder="1" applyAlignment="1">
      <alignment horizontal="left" vertical="center" wrapText="1"/>
    </xf>
    <xf numFmtId="0" fontId="40" fillId="0" borderId="69" xfId="26" applyFont="1" applyBorder="1" applyAlignment="1">
      <alignment horizontal="left" vertical="top" wrapText="1"/>
    </xf>
    <xf numFmtId="0" fontId="40" fillId="0" borderId="20" xfId="26" applyFont="1" applyBorder="1" applyAlignment="1">
      <alignment horizontal="left" vertical="top" wrapText="1"/>
    </xf>
    <xf numFmtId="0" fontId="40" fillId="0" borderId="103" xfId="26" applyFont="1" applyBorder="1" applyAlignment="1">
      <alignment horizontal="left" vertical="top" wrapText="1"/>
    </xf>
    <xf numFmtId="0" fontId="40" fillId="0" borderId="67" xfId="26" applyFont="1" applyBorder="1" applyAlignment="1">
      <alignment horizontal="left" vertical="top" wrapText="1"/>
    </xf>
    <xf numFmtId="0" fontId="40" fillId="0" borderId="68" xfId="26" applyFont="1" applyBorder="1" applyAlignment="1">
      <alignment horizontal="left" vertical="top" wrapText="1"/>
    </xf>
    <xf numFmtId="0" fontId="40" fillId="0" borderId="104" xfId="26" applyFont="1" applyBorder="1" applyAlignment="1">
      <alignment horizontal="left" vertical="top" wrapText="1"/>
    </xf>
    <xf numFmtId="0" fontId="37" fillId="0" borderId="93" xfId="26" applyFont="1" applyBorder="1" applyAlignment="1">
      <alignment horizontal="left" vertical="center"/>
    </xf>
    <xf numFmtId="0" fontId="37" fillId="0" borderId="95" xfId="26" applyFont="1" applyBorder="1" applyAlignment="1">
      <alignment horizontal="left" vertical="center"/>
    </xf>
    <xf numFmtId="0" fontId="37" fillId="0" borderId="96" xfId="26" applyFont="1" applyBorder="1" applyAlignment="1">
      <alignment horizontal="left" vertical="center"/>
    </xf>
    <xf numFmtId="0" fontId="38" fillId="3" borderId="93" xfId="26" applyFont="1" applyFill="1" applyBorder="1" applyAlignment="1">
      <alignment horizontal="center" vertical="center"/>
    </xf>
    <xf numFmtId="0" fontId="38" fillId="3" borderId="95" xfId="26" applyFont="1" applyFill="1" applyBorder="1" applyAlignment="1">
      <alignment horizontal="center" vertical="center"/>
    </xf>
    <xf numFmtId="0" fontId="38" fillId="3" borderId="94" xfId="26" applyFont="1" applyFill="1" applyBorder="1" applyAlignment="1">
      <alignment horizontal="center" vertical="center"/>
    </xf>
    <xf numFmtId="0" fontId="41" fillId="3" borderId="91" xfId="26" applyFont="1" applyFill="1" applyBorder="1" applyAlignment="1">
      <alignment horizontal="center" vertical="center"/>
    </xf>
    <xf numFmtId="0" fontId="41" fillId="3" borderId="90" xfId="26" applyFont="1" applyFill="1" applyBorder="1" applyAlignment="1">
      <alignment horizontal="center" vertical="center"/>
    </xf>
    <xf numFmtId="0" fontId="38" fillId="3" borderId="97" xfId="26" applyFont="1" applyFill="1" applyBorder="1" applyAlignment="1">
      <alignment horizontal="center" vertical="center"/>
    </xf>
    <xf numFmtId="0" fontId="41" fillId="10" borderId="95" xfId="26" applyFont="1" applyFill="1" applyBorder="1" applyAlignment="1">
      <alignment horizontal="left" vertical="center"/>
    </xf>
    <xf numFmtId="0" fontId="41" fillId="10" borderId="94" xfId="26" applyFont="1" applyFill="1" applyBorder="1" applyAlignment="1">
      <alignment horizontal="left" vertical="center"/>
    </xf>
    <xf numFmtId="0" fontId="41" fillId="9" borderId="101" xfId="26" applyFont="1" applyFill="1" applyBorder="1" applyAlignment="1">
      <alignment horizontal="center" vertical="center" textRotation="90"/>
    </xf>
    <xf numFmtId="0" fontId="41" fillId="9" borderId="82" xfId="26" applyFont="1" applyFill="1" applyBorder="1" applyAlignment="1">
      <alignment horizontal="center" vertical="center" textRotation="90"/>
    </xf>
    <xf numFmtId="0" fontId="41" fillId="9" borderId="105" xfId="26" applyFont="1" applyFill="1" applyBorder="1" applyAlignment="1">
      <alignment horizontal="center" vertical="center" textRotation="90"/>
    </xf>
    <xf numFmtId="0" fontId="26" fillId="9" borderId="102" xfId="26" applyFont="1" applyFill="1" applyBorder="1" applyAlignment="1">
      <alignment horizontal="center" vertical="center"/>
    </xf>
    <xf numFmtId="0" fontId="26" fillId="9" borderId="95" xfId="26" applyFont="1" applyFill="1" applyBorder="1" applyAlignment="1">
      <alignment horizontal="center" vertical="center"/>
    </xf>
    <xf numFmtId="0" fontId="26" fillId="9" borderId="94" xfId="26" applyFont="1" applyFill="1" applyBorder="1" applyAlignment="1">
      <alignment horizontal="center" vertical="center"/>
    </xf>
    <xf numFmtId="0" fontId="26" fillId="9" borderId="102" xfId="26" applyFont="1" applyFill="1" applyBorder="1" applyAlignment="1">
      <alignment horizontal="center" vertical="center" wrapText="1"/>
    </xf>
    <xf numFmtId="0" fontId="42" fillId="9" borderId="102" xfId="26" applyFont="1" applyFill="1" applyBorder="1" applyAlignment="1">
      <alignment horizontal="center" vertical="center" wrapText="1"/>
    </xf>
    <xf numFmtId="2" fontId="33" fillId="0" borderId="93" xfId="26" applyNumberFormat="1" applyFont="1" applyBorder="1" applyAlignment="1">
      <alignment horizontal="center" vertical="center" wrapText="1"/>
    </xf>
    <xf numFmtId="2" fontId="33" fillId="0" borderId="94" xfId="26" applyNumberFormat="1" applyFont="1" applyBorder="1" applyAlignment="1">
      <alignment horizontal="center" vertical="center" wrapText="1"/>
    </xf>
    <xf numFmtId="0" fontId="41" fillId="13" borderId="97" xfId="26" applyFont="1" applyFill="1" applyBorder="1" applyAlignment="1">
      <alignment horizontal="left" vertical="center"/>
    </xf>
    <xf numFmtId="0" fontId="41" fillId="13" borderId="95" xfId="26" applyFont="1" applyFill="1" applyBorder="1" applyAlignment="1">
      <alignment horizontal="left" vertical="center"/>
    </xf>
    <xf numFmtId="0" fontId="41" fillId="13" borderId="94" xfId="26" applyFont="1" applyFill="1" applyBorder="1" applyAlignment="1">
      <alignment horizontal="left" vertical="center"/>
    </xf>
    <xf numFmtId="0" fontId="41" fillId="13" borderId="97" xfId="26" applyFont="1" applyFill="1" applyBorder="1" applyAlignment="1">
      <alignment horizontal="left" vertical="center" wrapText="1"/>
    </xf>
    <xf numFmtId="0" fontId="41" fillId="13" borderId="95" xfId="26" applyFont="1" applyFill="1" applyBorder="1" applyAlignment="1">
      <alignment horizontal="left" vertical="center" wrapText="1"/>
    </xf>
    <xf numFmtId="0" fontId="41" fillId="13" borderId="94" xfId="26" applyFont="1" applyFill="1" applyBorder="1" applyAlignment="1">
      <alignment horizontal="left" vertical="center" wrapText="1"/>
    </xf>
    <xf numFmtId="0" fontId="12" fillId="0" borderId="14" xfId="26" applyFont="1" applyBorder="1" applyAlignment="1">
      <alignment vertical="center"/>
    </xf>
    <xf numFmtId="0" fontId="12" fillId="0" borderId="78" xfId="26" applyFont="1" applyBorder="1" applyAlignment="1">
      <alignment vertical="center"/>
    </xf>
    <xf numFmtId="0" fontId="33" fillId="0" borderId="91" xfId="26" applyFont="1" applyBorder="1" applyAlignment="1">
      <alignment horizontal="left" vertical="center" wrapText="1"/>
    </xf>
    <xf numFmtId="0" fontId="27" fillId="0" borderId="20" xfId="26" applyFont="1" applyBorder="1" applyAlignment="1">
      <alignment vertical="top"/>
    </xf>
    <xf numFmtId="0" fontId="27" fillId="0" borderId="103" xfId="26" applyFont="1" applyBorder="1" applyAlignment="1">
      <alignment vertical="top"/>
    </xf>
    <xf numFmtId="0" fontId="27" fillId="0" borderId="67" xfId="26" applyFont="1" applyBorder="1" applyAlignment="1">
      <alignment vertical="top"/>
    </xf>
    <xf numFmtId="0" fontId="27" fillId="0" borderId="68" xfId="26" applyFont="1" applyBorder="1" applyAlignment="1">
      <alignment vertical="top"/>
    </xf>
    <xf numFmtId="0" fontId="27" fillId="0" borderId="104" xfId="26" applyFont="1" applyBorder="1" applyAlignment="1">
      <alignment vertical="top"/>
    </xf>
    <xf numFmtId="0" fontId="35" fillId="3" borderId="79" xfId="26" applyFont="1" applyFill="1" applyBorder="1" applyAlignment="1">
      <alignment horizontal="center" vertical="center" wrapText="1"/>
    </xf>
    <xf numFmtId="0" fontId="35" fillId="3" borderId="14" xfId="26" applyFont="1" applyFill="1" applyBorder="1" applyAlignment="1">
      <alignment horizontal="center" vertical="center" wrapText="1"/>
    </xf>
    <xf numFmtId="0" fontId="35" fillId="3" borderId="78" xfId="26" applyFont="1" applyFill="1" applyBorder="1" applyAlignment="1">
      <alignment horizontal="center" vertical="center" wrapText="1"/>
    </xf>
    <xf numFmtId="0" fontId="35" fillId="3" borderId="87" xfId="26" applyFont="1" applyFill="1" applyBorder="1" applyAlignment="1">
      <alignment horizontal="center" vertical="center" wrapText="1"/>
    </xf>
    <xf numFmtId="0" fontId="35" fillId="3" borderId="85" xfId="26" applyFont="1" applyFill="1" applyBorder="1" applyAlignment="1">
      <alignment horizontal="center" vertical="center" wrapText="1"/>
    </xf>
    <xf numFmtId="0" fontId="35" fillId="3" borderId="86" xfId="26" applyFont="1" applyFill="1" applyBorder="1" applyAlignment="1">
      <alignment horizontal="center" vertical="center" wrapText="1"/>
    </xf>
    <xf numFmtId="0" fontId="41" fillId="3" borderId="97" xfId="26" applyFont="1" applyFill="1" applyBorder="1" applyAlignment="1">
      <alignment horizontal="left" vertical="center"/>
    </xf>
    <xf numFmtId="0" fontId="41" fillId="3" borderId="95" xfId="26" applyFont="1" applyFill="1" applyBorder="1" applyAlignment="1">
      <alignment horizontal="left" vertical="center"/>
    </xf>
    <xf numFmtId="0" fontId="41" fillId="3" borderId="94" xfId="26" applyFont="1" applyFill="1" applyBorder="1" applyAlignment="1">
      <alignment horizontal="left" vertical="center"/>
    </xf>
    <xf numFmtId="0" fontId="41" fillId="3" borderId="100" xfId="26" applyFont="1" applyFill="1" applyBorder="1" applyAlignment="1">
      <alignment horizontal="center" vertical="center" textRotation="90"/>
    </xf>
    <xf numFmtId="0" fontId="41" fillId="3" borderId="101" xfId="26" applyFont="1" applyFill="1" applyBorder="1" applyAlignment="1">
      <alignment horizontal="center" vertical="center" textRotation="90"/>
    </xf>
    <xf numFmtId="0" fontId="41" fillId="3" borderId="82" xfId="26" applyFont="1" applyFill="1" applyBorder="1" applyAlignment="1">
      <alignment horizontal="center" vertical="center" textRotation="90"/>
    </xf>
    <xf numFmtId="0" fontId="41" fillId="3" borderId="105" xfId="26" applyFont="1" applyFill="1" applyBorder="1" applyAlignment="1">
      <alignment horizontal="center" vertical="center" textRotation="90"/>
    </xf>
    <xf numFmtId="0" fontId="26" fillId="3" borderId="100" xfId="26" applyFont="1" applyFill="1" applyBorder="1" applyAlignment="1">
      <alignment horizontal="center" vertical="center"/>
    </xf>
    <xf numFmtId="0" fontId="26" fillId="3" borderId="102" xfId="26" applyFont="1" applyFill="1" applyBorder="1" applyAlignment="1">
      <alignment horizontal="center" vertical="center"/>
    </xf>
    <xf numFmtId="0" fontId="26" fillId="3" borderId="93" xfId="26" applyFont="1" applyFill="1" applyBorder="1" applyAlignment="1">
      <alignment horizontal="center" vertical="center"/>
    </xf>
    <xf numFmtId="0" fontId="26" fillId="3" borderId="95" xfId="26" applyFont="1" applyFill="1" applyBorder="1" applyAlignment="1">
      <alignment horizontal="center" vertical="center"/>
    </xf>
    <xf numFmtId="0" fontId="26" fillId="3" borderId="94" xfId="26" applyFont="1" applyFill="1" applyBorder="1" applyAlignment="1">
      <alignment horizontal="center" vertical="center"/>
    </xf>
    <xf numFmtId="0" fontId="26" fillId="3" borderId="100" xfId="26" applyFont="1" applyFill="1" applyBorder="1" applyAlignment="1">
      <alignment horizontal="center" vertical="center" wrapText="1"/>
    </xf>
    <xf numFmtId="0" fontId="26" fillId="3" borderId="102" xfId="26" applyFont="1" applyFill="1" applyBorder="1" applyAlignment="1">
      <alignment horizontal="center" vertical="center" wrapText="1"/>
    </xf>
    <xf numFmtId="0" fontId="42" fillId="3" borderId="100" xfId="26" applyFont="1" applyFill="1" applyBorder="1" applyAlignment="1">
      <alignment horizontal="center" vertical="center" wrapText="1"/>
    </xf>
    <xf numFmtId="0" fontId="42" fillId="3" borderId="102" xfId="26" applyFont="1" applyFill="1" applyBorder="1" applyAlignment="1">
      <alignment horizontal="center" vertical="center" wrapText="1"/>
    </xf>
    <xf numFmtId="4" fontId="26" fillId="3" borderId="98" xfId="26" applyNumberFormat="1" applyFont="1" applyFill="1" applyBorder="1" applyAlignment="1">
      <alignment horizontal="center" vertical="center" wrapText="1"/>
    </xf>
    <xf numFmtId="4" fontId="26" fillId="3" borderId="99" xfId="26" applyNumberFormat="1" applyFont="1" applyFill="1" applyBorder="1" applyAlignment="1">
      <alignment horizontal="center" vertical="center" wrapText="1"/>
    </xf>
    <xf numFmtId="0" fontId="41" fillId="3" borderId="97" xfId="26" applyFont="1" applyFill="1" applyBorder="1" applyAlignment="1">
      <alignment horizontal="left" vertical="center" wrapText="1"/>
    </xf>
    <xf numFmtId="0" fontId="41" fillId="3" borderId="95" xfId="26" applyFont="1" applyFill="1" applyBorder="1" applyAlignment="1">
      <alignment horizontal="left" vertical="center" wrapText="1"/>
    </xf>
    <xf numFmtId="0" fontId="41" fillId="3" borderId="94" xfId="26" applyFont="1" applyFill="1" applyBorder="1" applyAlignment="1">
      <alignment horizontal="left" vertical="center" wrapText="1"/>
    </xf>
    <xf numFmtId="43" fontId="19" fillId="5" borderId="47" xfId="15" applyFont="1" applyFill="1" applyBorder="1" applyAlignment="1">
      <alignment horizontal="center" vertical="center" wrapText="1"/>
    </xf>
    <xf numFmtId="43" fontId="19" fillId="5" borderId="34" xfId="15" applyFont="1" applyFill="1" applyBorder="1" applyAlignment="1">
      <alignment horizontal="center" vertical="center" wrapText="1"/>
    </xf>
    <xf numFmtId="166" fontId="12" fillId="2" borderId="7" xfId="17" applyFont="1" applyFill="1" applyBorder="1" applyAlignment="1">
      <alignment horizontal="center" vertical="center" wrapText="1"/>
    </xf>
    <xf numFmtId="166" fontId="12" fillId="2" borderId="11" xfId="17" applyFont="1" applyFill="1" applyBorder="1" applyAlignment="1">
      <alignment horizontal="center" vertical="center" wrapText="1"/>
    </xf>
    <xf numFmtId="177" fontId="11" fillId="5" borderId="7" xfId="15" applyNumberFormat="1" applyFont="1" applyFill="1" applyBorder="1" applyAlignment="1">
      <alignment horizontal="center" vertical="center" wrapText="1"/>
    </xf>
    <xf numFmtId="177" fontId="11" fillId="5" borderId="11" xfId="15" applyNumberFormat="1" applyFont="1" applyFill="1" applyBorder="1" applyAlignment="1">
      <alignment horizontal="center" vertical="center" wrapText="1"/>
    </xf>
    <xf numFmtId="43" fontId="20" fillId="5" borderId="7" xfId="15" applyFont="1" applyFill="1" applyBorder="1" applyAlignment="1">
      <alignment horizontal="center" vertical="center" wrapText="1"/>
    </xf>
    <xf numFmtId="43" fontId="20" fillId="5" borderId="11" xfId="15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43" fontId="11" fillId="5" borderId="7" xfId="15" applyFont="1" applyFill="1" applyBorder="1" applyAlignment="1">
      <alignment horizontal="center" vertical="center" wrapText="1"/>
    </xf>
    <xf numFmtId="43" fontId="11" fillId="5" borderId="75" xfId="15" applyFont="1" applyFill="1" applyBorder="1" applyAlignment="1">
      <alignment horizontal="center" vertical="center" wrapText="1"/>
    </xf>
    <xf numFmtId="43" fontId="11" fillId="5" borderId="11" xfId="15" applyFont="1" applyFill="1" applyBorder="1" applyAlignment="1">
      <alignment horizontal="center" vertical="center" wrapText="1"/>
    </xf>
    <xf numFmtId="0" fontId="11" fillId="5" borderId="46" xfId="0" applyFont="1" applyFill="1" applyBorder="1" applyAlignment="1">
      <alignment horizontal="center" vertical="center" wrapText="1"/>
    </xf>
    <xf numFmtId="0" fontId="11" fillId="5" borderId="70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43" fontId="20" fillId="5" borderId="19" xfId="15" applyFont="1" applyFill="1" applyBorder="1" applyAlignment="1">
      <alignment horizontal="center" vertical="center" wrapText="1"/>
    </xf>
    <xf numFmtId="43" fontId="20" fillId="5" borderId="20" xfId="15" applyFont="1" applyFill="1" applyBorder="1" applyAlignment="1">
      <alignment horizontal="center" vertical="center" wrapText="1"/>
    </xf>
    <xf numFmtId="43" fontId="21" fillId="5" borderId="1" xfId="15" applyFont="1" applyFill="1" applyBorder="1" applyAlignment="1">
      <alignment horizontal="center" vertical="center" wrapText="1"/>
    </xf>
    <xf numFmtId="43" fontId="20" fillId="5" borderId="47" xfId="15" applyFont="1" applyFill="1" applyBorder="1" applyAlignment="1">
      <alignment horizontal="center" vertical="center" wrapText="1"/>
    </xf>
    <xf numFmtId="43" fontId="20" fillId="5" borderId="34" xfId="15" applyFont="1" applyFill="1" applyBorder="1" applyAlignment="1">
      <alignment horizontal="center" vertical="center" wrapText="1"/>
    </xf>
    <xf numFmtId="43" fontId="13" fillId="5" borderId="47" xfId="15" applyFont="1" applyFill="1" applyBorder="1" applyAlignment="1">
      <alignment horizontal="center" vertical="center" wrapText="1"/>
    </xf>
    <xf numFmtId="43" fontId="13" fillId="5" borderId="34" xfId="15" applyFont="1" applyFill="1" applyBorder="1" applyAlignment="1">
      <alignment horizontal="center" vertical="center" wrapText="1"/>
    </xf>
    <xf numFmtId="43" fontId="20" fillId="5" borderId="22" xfId="15" applyFont="1" applyFill="1" applyBorder="1" applyAlignment="1">
      <alignment horizontal="center" vertical="center" wrapText="1"/>
    </xf>
    <xf numFmtId="43" fontId="20" fillId="5" borderId="2" xfId="15" applyFont="1" applyFill="1" applyBorder="1" applyAlignment="1">
      <alignment horizontal="center" vertical="center" wrapText="1"/>
    </xf>
    <xf numFmtId="43" fontId="13" fillId="0" borderId="47" xfId="15" applyFont="1" applyFill="1" applyBorder="1" applyAlignment="1">
      <alignment horizontal="center" vertical="center" wrapText="1"/>
    </xf>
    <xf numFmtId="43" fontId="13" fillId="0" borderId="34" xfId="15" applyFont="1" applyFill="1" applyBorder="1" applyAlignment="1">
      <alignment horizontal="center" vertical="center" wrapText="1"/>
    </xf>
    <xf numFmtId="41" fontId="12" fillId="0" borderId="46" xfId="16" applyFont="1" applyFill="1" applyBorder="1" applyAlignment="1">
      <alignment horizontal="center" vertical="center" wrapText="1"/>
    </xf>
    <xf numFmtId="41" fontId="12" fillId="0" borderId="70" xfId="16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43" fontId="16" fillId="2" borderId="0" xfId="15" applyFont="1" applyFill="1" applyAlignment="1">
      <alignment horizontal="center" vertical="center" wrapText="1"/>
    </xf>
    <xf numFmtId="43" fontId="9" fillId="2" borderId="0" xfId="15" applyFont="1" applyFill="1" applyAlignment="1">
      <alignment horizontal="left" vertical="center" wrapText="1"/>
    </xf>
    <xf numFmtId="43" fontId="13" fillId="2" borderId="0" xfId="15" applyFont="1" applyFill="1" applyAlignment="1">
      <alignment horizontal="left" vertical="center" wrapText="1"/>
    </xf>
    <xf numFmtId="166" fontId="11" fillId="2" borderId="31" xfId="17" applyFont="1" applyFill="1" applyBorder="1" applyAlignment="1">
      <alignment horizontal="center" vertical="center" wrapText="1"/>
    </xf>
    <xf numFmtId="166" fontId="11" fillId="2" borderId="77" xfId="17" applyFont="1" applyFill="1" applyBorder="1" applyAlignment="1">
      <alignment horizontal="center" vertical="center" wrapText="1"/>
    </xf>
    <xf numFmtId="178" fontId="12" fillId="0" borderId="7" xfId="18" applyNumberFormat="1" applyFont="1" applyBorder="1" applyAlignment="1">
      <alignment horizontal="center" vertical="center" wrapText="1"/>
    </xf>
    <xf numFmtId="178" fontId="12" fillId="0" borderId="11" xfId="18" applyNumberFormat="1" applyFont="1" applyBorder="1" applyAlignment="1">
      <alignment horizontal="center" vertical="center" wrapText="1"/>
    </xf>
    <xf numFmtId="43" fontId="19" fillId="5" borderId="19" xfId="15" applyFont="1" applyFill="1" applyBorder="1" applyAlignment="1">
      <alignment horizontal="center" vertical="center" wrapText="1"/>
    </xf>
    <xf numFmtId="43" fontId="19" fillId="5" borderId="73" xfId="15" applyFont="1" applyFill="1" applyBorder="1" applyAlignment="1">
      <alignment horizontal="center" vertical="center" wrapText="1"/>
    </xf>
    <xf numFmtId="43" fontId="19" fillId="5" borderId="22" xfId="15" applyFont="1" applyFill="1" applyBorder="1" applyAlignment="1">
      <alignment horizontal="center" vertical="center" wrapText="1"/>
    </xf>
    <xf numFmtId="43" fontId="19" fillId="5" borderId="12" xfId="15" applyFont="1" applyFill="1" applyBorder="1" applyAlignment="1">
      <alignment horizontal="center" vertical="center" wrapText="1"/>
    </xf>
    <xf numFmtId="166" fontId="12" fillId="2" borderId="24" xfId="17" applyFont="1" applyFill="1" applyBorder="1" applyAlignment="1">
      <alignment horizontal="center" vertical="center" wrapText="1"/>
    </xf>
    <xf numFmtId="166" fontId="12" fillId="2" borderId="43" xfId="17" applyFont="1" applyFill="1" applyBorder="1" applyAlignment="1">
      <alignment horizontal="center" vertical="center" wrapText="1"/>
    </xf>
    <xf numFmtId="178" fontId="12" fillId="0" borderId="1" xfId="18" applyNumberFormat="1" applyFont="1" applyBorder="1" applyAlignment="1">
      <alignment horizontal="center" vertical="center" wrapText="1"/>
    </xf>
    <xf numFmtId="0" fontId="68" fillId="0" borderId="27" xfId="5" applyFont="1" applyBorder="1" applyAlignment="1">
      <alignment horizontal="center" vertical="center"/>
    </xf>
    <xf numFmtId="0" fontId="68" fillId="0" borderId="49" xfId="5" applyFont="1" applyBorder="1" applyAlignment="1">
      <alignment horizontal="center" vertical="center"/>
    </xf>
    <xf numFmtId="0" fontId="68" fillId="0" borderId="50" xfId="5" applyFont="1" applyBorder="1" applyAlignment="1">
      <alignment horizontal="center" vertical="center"/>
    </xf>
    <xf numFmtId="0" fontId="68" fillId="0" borderId="52" xfId="5" applyFont="1" applyBorder="1" applyAlignment="1">
      <alignment horizontal="center" vertical="center"/>
    </xf>
    <xf numFmtId="0" fontId="68" fillId="0" borderId="53" xfId="5" applyFont="1" applyBorder="1" applyAlignment="1">
      <alignment horizontal="center" vertical="center"/>
    </xf>
    <xf numFmtId="0" fontId="68" fillId="0" borderId="54" xfId="5" applyFont="1" applyBorder="1" applyAlignment="1">
      <alignment horizontal="center" vertical="center"/>
    </xf>
    <xf numFmtId="0" fontId="68" fillId="0" borderId="13" xfId="5" applyFont="1" applyBorder="1" applyAlignment="1">
      <alignment horizontal="center" vertical="center"/>
    </xf>
    <xf numFmtId="0" fontId="68" fillId="0" borderId="14" xfId="5" applyFont="1" applyBorder="1" applyAlignment="1">
      <alignment horizontal="center" vertical="center"/>
    </xf>
    <xf numFmtId="0" fontId="38" fillId="0" borderId="74" xfId="13" applyFont="1" applyBorder="1" applyAlignment="1">
      <alignment horizontal="center" vertical="center"/>
    </xf>
    <xf numFmtId="0" fontId="38" fillId="0" borderId="17" xfId="13" applyFont="1" applyBorder="1" applyAlignment="1">
      <alignment horizontal="center" vertical="center"/>
    </xf>
    <xf numFmtId="0" fontId="38" fillId="0" borderId="56" xfId="13" applyFont="1" applyBorder="1" applyAlignment="1">
      <alignment horizontal="center" vertical="center"/>
    </xf>
    <xf numFmtId="0" fontId="65" fillId="0" borderId="19" xfId="13" applyFont="1" applyBorder="1" applyAlignment="1">
      <alignment horizontal="center" vertical="center" wrapText="1"/>
    </xf>
    <xf numFmtId="0" fontId="65" fillId="0" borderId="20" xfId="13" applyFont="1" applyBorder="1" applyAlignment="1">
      <alignment horizontal="center" vertical="center" wrapText="1"/>
    </xf>
    <xf numFmtId="0" fontId="65" fillId="0" borderId="21" xfId="13" applyFont="1" applyBorder="1" applyAlignment="1">
      <alignment horizontal="center" vertical="center" wrapText="1"/>
    </xf>
    <xf numFmtId="0" fontId="65" fillId="0" borderId="22" xfId="13" applyFont="1" applyBorder="1" applyAlignment="1">
      <alignment horizontal="center" vertical="center" wrapText="1"/>
    </xf>
    <xf numFmtId="0" fontId="65" fillId="0" borderId="2" xfId="13" applyFont="1" applyBorder="1" applyAlignment="1">
      <alignment horizontal="center" vertical="center" wrapText="1"/>
    </xf>
    <xf numFmtId="0" fontId="65" fillId="0" borderId="23" xfId="13" applyFont="1" applyBorder="1" applyAlignment="1">
      <alignment horizontal="center" vertical="center" wrapText="1"/>
    </xf>
    <xf numFmtId="0" fontId="60" fillId="0" borderId="19" xfId="6" applyFont="1" applyBorder="1" applyAlignment="1">
      <alignment horizontal="center" vertical="center" wrapText="1"/>
    </xf>
    <xf numFmtId="0" fontId="60" fillId="0" borderId="20" xfId="6" applyFont="1" applyBorder="1" applyAlignment="1">
      <alignment horizontal="center" vertical="center" wrapText="1"/>
    </xf>
    <xf numFmtId="0" fontId="60" fillId="0" borderId="21" xfId="6" applyFont="1" applyBorder="1" applyAlignment="1">
      <alignment horizontal="center" vertical="center" wrapText="1"/>
    </xf>
    <xf numFmtId="0" fontId="60" fillId="0" borderId="22" xfId="6" applyFont="1" applyBorder="1" applyAlignment="1">
      <alignment horizontal="center" vertical="center" wrapText="1"/>
    </xf>
    <xf numFmtId="0" fontId="60" fillId="0" borderId="2" xfId="6" applyFont="1" applyBorder="1" applyAlignment="1">
      <alignment horizontal="center" vertical="center" wrapText="1"/>
    </xf>
    <xf numFmtId="0" fontId="60" fillId="0" borderId="23" xfId="6" applyFont="1" applyBorder="1" applyAlignment="1">
      <alignment horizontal="center" vertical="center" wrapText="1"/>
    </xf>
    <xf numFmtId="4" fontId="31" fillId="0" borderId="24" xfId="6" applyNumberFormat="1" applyFont="1" applyBorder="1" applyAlignment="1">
      <alignment horizontal="center" vertical="center" wrapText="1"/>
    </xf>
    <xf numFmtId="0" fontId="27" fillId="0" borderId="25" xfId="6" applyFont="1" applyBorder="1" applyAlignment="1">
      <alignment horizontal="center"/>
    </xf>
    <xf numFmtId="0" fontId="27" fillId="0" borderId="26" xfId="6" applyFont="1" applyBorder="1" applyAlignment="1">
      <alignment horizontal="center"/>
    </xf>
    <xf numFmtId="0" fontId="58" fillId="0" borderId="74" xfId="13" applyFont="1" applyBorder="1" applyAlignment="1">
      <alignment horizontal="center" vertical="center"/>
    </xf>
    <xf numFmtId="0" fontId="58" fillId="0" borderId="17" xfId="13" applyFont="1" applyBorder="1" applyAlignment="1">
      <alignment horizontal="center" vertical="center"/>
    </xf>
    <xf numFmtId="0" fontId="58" fillId="0" borderId="18" xfId="13" applyFont="1" applyBorder="1" applyAlignment="1">
      <alignment horizontal="center" vertical="center"/>
    </xf>
    <xf numFmtId="0" fontId="66" fillId="0" borderId="24" xfId="7" applyFont="1" applyBorder="1" applyAlignment="1">
      <alignment horizontal="center" vertical="center" wrapText="1"/>
    </xf>
    <xf numFmtId="0" fontId="66" fillId="0" borderId="25" xfId="7" applyFont="1" applyBorder="1" applyAlignment="1">
      <alignment horizontal="center" vertical="center" wrapText="1"/>
    </xf>
    <xf numFmtId="0" fontId="66" fillId="0" borderId="26" xfId="7" applyFont="1" applyBorder="1" applyAlignment="1">
      <alignment horizontal="center" vertical="center" wrapText="1"/>
    </xf>
    <xf numFmtId="2" fontId="38" fillId="0" borderId="74" xfId="6" applyNumberFormat="1" applyFont="1" applyBorder="1" applyAlignment="1">
      <alignment horizontal="center" vertical="center"/>
    </xf>
    <xf numFmtId="0" fontId="38" fillId="0" borderId="17" xfId="6" applyFont="1" applyBorder="1" applyAlignment="1">
      <alignment horizontal="center" vertical="center"/>
    </xf>
    <xf numFmtId="0" fontId="38" fillId="0" borderId="18" xfId="6" applyFont="1" applyBorder="1" applyAlignment="1">
      <alignment horizontal="center" vertical="center"/>
    </xf>
    <xf numFmtId="0" fontId="38" fillId="0" borderId="74" xfId="6" applyFont="1" applyBorder="1" applyAlignment="1">
      <alignment horizontal="center" vertical="center"/>
    </xf>
    <xf numFmtId="0" fontId="27" fillId="0" borderId="59" xfId="6" applyFont="1" applyBorder="1" applyAlignment="1">
      <alignment horizontal="center"/>
    </xf>
    <xf numFmtId="0" fontId="60" fillId="0" borderId="57" xfId="6" applyFont="1" applyBorder="1" applyAlignment="1">
      <alignment horizontal="center" vertical="center" wrapText="1"/>
    </xf>
    <xf numFmtId="0" fontId="60" fillId="0" borderId="58" xfId="6" applyFont="1" applyBorder="1" applyAlignment="1">
      <alignment horizontal="center" vertical="center" wrapText="1"/>
    </xf>
  </cellXfs>
  <cellStyles count="35">
    <cellStyle name="Millares" xfId="1" builtinId="3"/>
    <cellStyle name="Millares [0] 4" xfId="16"/>
    <cellStyle name="Millares 3" xfId="33"/>
    <cellStyle name="Millares 4" xfId="15"/>
    <cellStyle name="Millares 6" xfId="17"/>
    <cellStyle name="Moneda" xfId="4" builtinId="4"/>
    <cellStyle name="Moneda [0] 2" xfId="8"/>
    <cellStyle name="Moneda [0] 2 3" xfId="25"/>
    <cellStyle name="Moneda [0] 3" xfId="28"/>
    <cellStyle name="Moneda [0] 4" xfId="21"/>
    <cellStyle name="Moneda [0] 5" xfId="22"/>
    <cellStyle name="Moneda 3" xfId="24"/>
    <cellStyle name="Moneda 3 5" xfId="31"/>
    <cellStyle name="Moneda 6" xfId="23"/>
    <cellStyle name="Normal" xfId="0" builtinId="0"/>
    <cellStyle name="Normal 10 2" xfId="7"/>
    <cellStyle name="Normal 18" xfId="3"/>
    <cellStyle name="Normal 2" xfId="26"/>
    <cellStyle name="Normal 2 2" xfId="32"/>
    <cellStyle name="Normal 2 2 2 2 2" xfId="20"/>
    <cellStyle name="Normal 2 2 3" xfId="6"/>
    <cellStyle name="Normal 2 3" xfId="13"/>
    <cellStyle name="Normal 20" xfId="19"/>
    <cellStyle name="Normal 3" xfId="11"/>
    <cellStyle name="Normal 3 10" xfId="34"/>
    <cellStyle name="Normal 3 2" xfId="30"/>
    <cellStyle name="Normal 3 2 2" xfId="5"/>
    <cellStyle name="Normal 4" xfId="27"/>
    <cellStyle name="Normal_FORMATOS AGUAS" xfId="18"/>
    <cellStyle name="Normal_Modelo APU para proyectos Chiriguana_Ppto Urbanismo y APUs_Ok" xfId="9"/>
    <cellStyle name="Porcentaje" xfId="2" builtinId="5"/>
    <cellStyle name="Porcentaje 2" xfId="12"/>
    <cellStyle name="Porcentaje 2 2 2" xfId="10"/>
    <cellStyle name="Porcentaje 3" xfId="14"/>
    <cellStyle name="Porcentaje 4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883228</xdr:colOff>
      <xdr:row>0</xdr:row>
      <xdr:rowOff>69274</xdr:rowOff>
    </xdr:from>
    <xdr:to>
      <xdr:col>6</xdr:col>
      <xdr:colOff>1636570</xdr:colOff>
      <xdr:row>1</xdr:row>
      <xdr:rowOff>129519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46AFE51-2718-47E3-9B94-F0222DED2B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7966364" y="69274"/>
          <a:ext cx="2043547" cy="1826700"/>
        </a:xfrm>
        <a:prstGeom prst="rect">
          <a:avLst/>
        </a:prstGeom>
      </xdr:spPr>
    </xdr:pic>
    <xdr:clientData/>
  </xdr:twoCellAnchor>
  <xdr:twoCellAnchor editAs="oneCell">
    <xdr:from>
      <xdr:col>3</xdr:col>
      <xdr:colOff>8656</xdr:colOff>
      <xdr:row>0</xdr:row>
      <xdr:rowOff>34636</xdr:rowOff>
    </xdr:from>
    <xdr:to>
      <xdr:col>5</xdr:col>
      <xdr:colOff>813953</xdr:colOff>
      <xdr:row>0</xdr:row>
      <xdr:rowOff>1740477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E8F8E20-CF75-448B-84DB-A0ED1755FE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694"/>
        <a:stretch/>
      </xdr:blipFill>
      <xdr:spPr>
        <a:xfrm>
          <a:off x="5316679" y="34636"/>
          <a:ext cx="2580410" cy="17058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380998</xdr:colOff>
      <xdr:row>1</xdr:row>
      <xdr:rowOff>1</xdr:rowOff>
    </xdr:from>
    <xdr:to>
      <xdr:col>39</xdr:col>
      <xdr:colOff>797872</xdr:colOff>
      <xdr:row>4</xdr:row>
      <xdr:rowOff>394607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5B5E68F-B362-4640-9027-87EDC4523F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913"/>
        <a:stretch/>
      </xdr:blipFill>
      <xdr:spPr>
        <a:xfrm>
          <a:off x="10572748" y="299358"/>
          <a:ext cx="2580410" cy="1700892"/>
        </a:xfrm>
        <a:prstGeom prst="rect">
          <a:avLst/>
        </a:prstGeom>
      </xdr:spPr>
    </xdr:pic>
    <xdr:clientData/>
  </xdr:twoCellAnchor>
  <xdr:twoCellAnchor editAs="oneCell">
    <xdr:from>
      <xdr:col>39</xdr:col>
      <xdr:colOff>1170214</xdr:colOff>
      <xdr:row>1</xdr:row>
      <xdr:rowOff>27214</xdr:rowOff>
    </xdr:from>
    <xdr:to>
      <xdr:col>40</xdr:col>
      <xdr:colOff>655618</xdr:colOff>
      <xdr:row>5</xdr:row>
      <xdr:rowOff>112200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7C8885D-562B-44F2-B48D-89A89DFC1D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13525500" y="326571"/>
          <a:ext cx="2043547" cy="1826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61</xdr:row>
      <xdr:rowOff>142876</xdr:rowOff>
    </xdr:from>
    <xdr:to>
      <xdr:col>6</xdr:col>
      <xdr:colOff>688975</xdr:colOff>
      <xdr:row>65</xdr:row>
      <xdr:rowOff>163365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3591" y="1468755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14</xdr:col>
      <xdr:colOff>79374</xdr:colOff>
      <xdr:row>61</xdr:row>
      <xdr:rowOff>184232</xdr:rowOff>
    </xdr:from>
    <xdr:to>
      <xdr:col>15</xdr:col>
      <xdr:colOff>441959</xdr:colOff>
      <xdr:row>65</xdr:row>
      <xdr:rowOff>16281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99924" y="14728907"/>
          <a:ext cx="1641475" cy="5978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40</xdr:row>
      <xdr:rowOff>142876</xdr:rowOff>
    </xdr:from>
    <xdr:to>
      <xdr:col>6</xdr:col>
      <xdr:colOff>688975</xdr:colOff>
      <xdr:row>44</xdr:row>
      <xdr:rowOff>161460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00991" y="1082040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11</xdr:col>
      <xdr:colOff>79374</xdr:colOff>
      <xdr:row>40</xdr:row>
      <xdr:rowOff>184232</xdr:rowOff>
    </xdr:from>
    <xdr:to>
      <xdr:col>13</xdr:col>
      <xdr:colOff>196849</xdr:colOff>
      <xdr:row>44</xdr:row>
      <xdr:rowOff>20091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50" y="10861757"/>
          <a:ext cx="1641475" cy="5978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TACION%206/Mis%20documentos/Downloads/jkm/PU-%20Caseta%20Planta%20Electrica-Palacio-CIV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TACION%206/Mis%20documentos/Downloads/jkm/PU-%20Caseta%20Planta%20Electrica-ELECTRI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TACION%206/Mis%20documentos/Downloads/jkm/PU-%20Caseta%20Planta%20Electrica-Palac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STACION%206/Mis%20documentos/Downloads/jkm/PALACIO-ALCALDIA/PROYECTOS/ESTRUCTURAS/SALONES%20COMUNALES/LA%20PESQUERA/CANCHA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IS/AppData/Roaming/Microsoft/Excel/Rev%20octu%2008-13%20PRESUPUESTO%20PLAZA%20MERC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AppData/Local/Temp/a%20%20aaInformaci&#243;n%20GRUPO%204/A%20MInformes%20Mensuales/Informe%20de%20estado%20vial%20ene/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DEL%20TORO/VILLA%20DEPORTIVA/08%20ESTRUCTURAL/INFORMES/CANTIDES%20CANCHA%20LA%20LOM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jairo79/Desktop/PRESUPUESTO%20IGLESIA%20NUESTRA%20SE&#209;ORA%20DE%20LA%20PAZ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/>
      <sheetData sheetId="1" refreshError="1"/>
      <sheetData sheetId="2"/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M55"/>
  <sheetViews>
    <sheetView showGridLines="0" view="pageBreakPreview" topLeftCell="A21" zoomScale="110" zoomScaleNormal="110" zoomScaleSheetLayoutView="110" workbookViewId="0">
      <selection activeCell="D26" sqref="D26"/>
    </sheetView>
  </sheetViews>
  <sheetFormatPr baseColWidth="10" defaultColWidth="11.42578125" defaultRowHeight="12.75"/>
  <cols>
    <col min="1" max="1" width="7.85546875" style="5" customWidth="1"/>
    <col min="2" max="2" width="9.28515625" style="5" customWidth="1"/>
    <col min="3" max="3" width="62.28515625" style="1" customWidth="1"/>
    <col min="4" max="4" width="12.85546875" style="1" customWidth="1"/>
    <col min="5" max="5" width="13.7109375" style="11" customWidth="1"/>
    <col min="6" max="6" width="19.28515625" style="7" customWidth="1"/>
    <col min="7" max="7" width="29.28515625" style="7" customWidth="1"/>
    <col min="8" max="8" width="26.28515625" style="1" customWidth="1"/>
    <col min="9" max="9" width="15.42578125" style="1" bestFit="1" customWidth="1"/>
    <col min="10" max="10" width="13.28515625" style="1" bestFit="1" customWidth="1"/>
    <col min="11" max="12" width="11.42578125" style="1"/>
    <col min="13" max="13" width="14.140625" style="1" customWidth="1"/>
    <col min="14" max="14" width="12" style="1" bestFit="1" customWidth="1"/>
    <col min="15" max="16384" width="11.42578125" style="1"/>
  </cols>
  <sheetData>
    <row r="1" spans="1:13" ht="138.75" customHeight="1">
      <c r="A1" s="592" t="s">
        <v>0</v>
      </c>
      <c r="B1" s="593"/>
      <c r="C1" s="594"/>
      <c r="D1" s="557"/>
      <c r="E1" s="557"/>
      <c r="F1" s="557"/>
      <c r="G1" s="558"/>
      <c r="H1" s="131"/>
      <c r="I1" s="13"/>
      <c r="J1" s="13"/>
      <c r="K1" s="13"/>
      <c r="L1" s="13"/>
      <c r="M1" s="13"/>
    </row>
    <row r="2" spans="1:13" ht="25.5" customHeight="1">
      <c r="A2" s="609" t="s">
        <v>1</v>
      </c>
      <c r="B2" s="610"/>
      <c r="C2" s="610"/>
      <c r="D2" s="610"/>
      <c r="E2" s="610"/>
      <c r="F2" s="610"/>
      <c r="G2" s="611"/>
      <c r="H2" s="131"/>
      <c r="I2" s="13"/>
      <c r="J2" s="13"/>
      <c r="K2" s="13"/>
      <c r="L2" s="13"/>
      <c r="M2" s="13"/>
    </row>
    <row r="3" spans="1:13" ht="16.5" customHeight="1">
      <c r="A3" s="606" t="s">
        <v>2</v>
      </c>
      <c r="B3" s="607"/>
      <c r="C3" s="607"/>
      <c r="D3" s="607"/>
      <c r="E3" s="607"/>
      <c r="F3" s="607"/>
      <c r="G3" s="608"/>
      <c r="H3" s="131"/>
      <c r="I3" s="13"/>
      <c r="J3" s="13"/>
      <c r="K3" s="13"/>
      <c r="L3" s="13"/>
      <c r="M3" s="13"/>
    </row>
    <row r="4" spans="1:13" ht="16.5" customHeight="1">
      <c r="A4" s="612" t="s">
        <v>3</v>
      </c>
      <c r="B4" s="613"/>
      <c r="C4" s="613"/>
      <c r="D4" s="613"/>
      <c r="E4" s="613"/>
      <c r="F4" s="614"/>
      <c r="G4" s="559" t="s">
        <v>4</v>
      </c>
      <c r="H4" s="131"/>
      <c r="I4" s="13"/>
      <c r="J4" s="13"/>
      <c r="K4" s="13"/>
      <c r="L4" s="13"/>
      <c r="M4" s="13"/>
    </row>
    <row r="5" spans="1:13" ht="25.5" customHeight="1">
      <c r="A5" s="584" t="s">
        <v>5</v>
      </c>
      <c r="B5" s="585"/>
      <c r="C5" s="615" t="s">
        <v>6</v>
      </c>
      <c r="D5" s="616"/>
      <c r="E5" s="617"/>
      <c r="F5" s="132" t="s">
        <v>7</v>
      </c>
      <c r="G5" s="560">
        <v>154001011044</v>
      </c>
      <c r="H5" s="131"/>
      <c r="I5" s="13"/>
      <c r="J5" s="13"/>
      <c r="K5" s="13"/>
      <c r="L5" s="13"/>
      <c r="M5" s="13"/>
    </row>
    <row r="6" spans="1:13" ht="16.5" customHeight="1">
      <c r="A6" s="584" t="s">
        <v>8</v>
      </c>
      <c r="B6" s="585"/>
      <c r="C6" s="615" t="s">
        <v>9</v>
      </c>
      <c r="D6" s="616"/>
      <c r="E6" s="617"/>
      <c r="F6" s="132" t="s">
        <v>10</v>
      </c>
      <c r="G6" s="561" t="s">
        <v>11</v>
      </c>
      <c r="H6" s="131"/>
      <c r="I6" s="13"/>
      <c r="J6" s="13"/>
      <c r="K6" s="13"/>
      <c r="L6" s="13"/>
      <c r="M6" s="13"/>
    </row>
    <row r="7" spans="1:13" ht="12" customHeight="1">
      <c r="A7" s="603"/>
      <c r="B7" s="604"/>
      <c r="C7" s="604"/>
      <c r="D7" s="604"/>
      <c r="E7" s="604"/>
      <c r="F7" s="604"/>
      <c r="G7" s="605"/>
      <c r="H7" s="131"/>
      <c r="I7" s="13"/>
      <c r="J7" s="13"/>
      <c r="K7" s="13"/>
      <c r="L7" s="13"/>
      <c r="M7" s="13"/>
    </row>
    <row r="8" spans="1:13" s="2" customFormat="1" ht="33.75" customHeight="1">
      <c r="A8" s="562" t="s">
        <v>12</v>
      </c>
      <c r="B8" s="128" t="s">
        <v>13</v>
      </c>
      <c r="C8" s="128" t="s">
        <v>14</v>
      </c>
      <c r="D8" s="128" t="s">
        <v>15</v>
      </c>
      <c r="E8" s="129" t="s">
        <v>16</v>
      </c>
      <c r="F8" s="129" t="s">
        <v>17</v>
      </c>
      <c r="G8" s="563" t="s">
        <v>18</v>
      </c>
      <c r="H8" s="551"/>
      <c r="I8" s="14"/>
      <c r="J8" s="14"/>
      <c r="K8" s="14"/>
      <c r="L8" s="14"/>
      <c r="M8" s="14"/>
    </row>
    <row r="9" spans="1:13" s="3" customFormat="1" ht="17.649999999999999" customHeight="1">
      <c r="A9" s="589" t="s">
        <v>19</v>
      </c>
      <c r="B9" s="590"/>
      <c r="C9" s="590"/>
      <c r="D9" s="590"/>
      <c r="E9" s="590"/>
      <c r="F9" s="590"/>
      <c r="G9" s="591"/>
      <c r="H9" s="552"/>
      <c r="I9" s="15"/>
      <c r="J9" s="15"/>
      <c r="K9" s="15"/>
      <c r="L9" s="15"/>
      <c r="M9" s="15"/>
    </row>
    <row r="10" spans="1:13" s="3" customFormat="1" ht="21" customHeight="1">
      <c r="A10" s="589" t="s">
        <v>20</v>
      </c>
      <c r="B10" s="590"/>
      <c r="C10" s="590"/>
      <c r="D10" s="590"/>
      <c r="E10" s="590"/>
      <c r="F10" s="590"/>
      <c r="G10" s="591"/>
      <c r="H10" s="552"/>
      <c r="I10" s="15"/>
      <c r="J10" s="15"/>
      <c r="K10" s="15"/>
      <c r="L10" s="15"/>
      <c r="M10" s="15"/>
    </row>
    <row r="11" spans="1:13" s="3" customFormat="1" ht="87.75" customHeight="1">
      <c r="A11" s="564">
        <v>1.1000000000000001</v>
      </c>
      <c r="B11" s="468"/>
      <c r="C11" s="469" t="s">
        <v>21</v>
      </c>
      <c r="D11" s="135" t="s">
        <v>22</v>
      </c>
      <c r="E11" s="470">
        <f>+'MEM CANTIDADES'!AO27</f>
        <v>146.35799999999998</v>
      </c>
      <c r="F11" s="471">
        <f>+'APUS '!H28</f>
        <v>18240</v>
      </c>
      <c r="G11" s="565">
        <f t="shared" ref="G11" si="0">F11*E11</f>
        <v>2669569.9199999995</v>
      </c>
      <c r="H11" s="552"/>
      <c r="I11" s="15"/>
      <c r="J11" s="15"/>
      <c r="K11" s="15"/>
      <c r="L11" s="15"/>
      <c r="M11" s="15"/>
    </row>
    <row r="12" spans="1:13" ht="22.5" customHeight="1">
      <c r="A12" s="589" t="s">
        <v>23</v>
      </c>
      <c r="B12" s="590"/>
      <c r="C12" s="590"/>
      <c r="D12" s="590"/>
      <c r="E12" s="590"/>
      <c r="F12" s="590"/>
      <c r="G12" s="566">
        <f>SUM(G11:G11)</f>
        <v>2669569.9199999995</v>
      </c>
      <c r="H12" s="131"/>
      <c r="I12" s="13"/>
      <c r="J12" s="13"/>
      <c r="K12" s="13"/>
      <c r="L12" s="13"/>
      <c r="M12" s="13"/>
    </row>
    <row r="13" spans="1:13" s="3" customFormat="1" ht="26.25" customHeight="1">
      <c r="A13" s="589" t="s">
        <v>24</v>
      </c>
      <c r="B13" s="590"/>
      <c r="C13" s="590"/>
      <c r="D13" s="590"/>
      <c r="E13" s="590"/>
      <c r="F13" s="590"/>
      <c r="G13" s="591"/>
      <c r="H13" s="552"/>
      <c r="I13" s="15"/>
      <c r="J13" s="15"/>
      <c r="K13" s="15"/>
      <c r="L13" s="15"/>
      <c r="M13" s="15"/>
    </row>
    <row r="14" spans="1:13" ht="67.5" customHeight="1">
      <c r="A14" s="564">
        <v>2.1</v>
      </c>
      <c r="B14" s="135"/>
      <c r="C14" s="515" t="s">
        <v>25</v>
      </c>
      <c r="D14" s="135" t="s">
        <v>22</v>
      </c>
      <c r="E14" s="135">
        <f>'MEM CANTIDADES'!AO45</f>
        <v>146.35799999999998</v>
      </c>
      <c r="F14" s="471">
        <f>'APUS '!H58</f>
        <v>25798</v>
      </c>
      <c r="G14" s="567">
        <f>E14*F14</f>
        <v>3775743.6839999994</v>
      </c>
      <c r="H14" s="131"/>
      <c r="I14" s="13"/>
      <c r="J14" s="13"/>
      <c r="K14" s="13"/>
      <c r="L14" s="13"/>
      <c r="M14" s="13"/>
    </row>
    <row r="15" spans="1:13" ht="26.25" customHeight="1">
      <c r="A15" s="564">
        <v>2.2000000000000002</v>
      </c>
      <c r="B15" s="135"/>
      <c r="C15" s="490" t="s">
        <v>26</v>
      </c>
      <c r="D15" s="135" t="s">
        <v>22</v>
      </c>
      <c r="E15" s="135">
        <f>+'MEM CANTIDADES'!AO64</f>
        <v>146.35799999999998</v>
      </c>
      <c r="F15" s="471">
        <f>+'APUS '!H89</f>
        <v>70029</v>
      </c>
      <c r="G15" s="567">
        <f>E15*F15</f>
        <v>10249304.381999997</v>
      </c>
      <c r="H15" s="131"/>
      <c r="I15" s="13"/>
      <c r="J15" s="13"/>
      <c r="K15" s="13"/>
      <c r="L15" s="13"/>
      <c r="M15" s="13"/>
    </row>
    <row r="16" spans="1:13" ht="26.25" customHeight="1">
      <c r="A16" s="589" t="s">
        <v>23</v>
      </c>
      <c r="B16" s="590"/>
      <c r="C16" s="590"/>
      <c r="D16" s="590"/>
      <c r="E16" s="590"/>
      <c r="F16" s="590"/>
      <c r="G16" s="566">
        <f>SUM(G14:G15)</f>
        <v>14025048.065999996</v>
      </c>
      <c r="H16" s="131"/>
      <c r="I16" s="13"/>
      <c r="J16" s="13"/>
      <c r="K16" s="13"/>
      <c r="L16" s="13"/>
      <c r="M16" s="13"/>
    </row>
    <row r="17" spans="1:13" ht="23.25" customHeight="1">
      <c r="A17" s="589" t="s">
        <v>27</v>
      </c>
      <c r="B17" s="590"/>
      <c r="C17" s="590"/>
      <c r="D17" s="590"/>
      <c r="E17" s="590"/>
      <c r="F17" s="590"/>
      <c r="G17" s="591"/>
      <c r="H17" s="131"/>
      <c r="I17" s="13"/>
      <c r="J17" s="13"/>
      <c r="K17" s="13"/>
      <c r="L17" s="13"/>
      <c r="M17" s="13"/>
    </row>
    <row r="18" spans="1:13" ht="71.25" customHeight="1">
      <c r="A18" s="564">
        <v>3.1</v>
      </c>
      <c r="B18" s="135"/>
      <c r="C18" s="469" t="s">
        <v>28</v>
      </c>
      <c r="D18" s="135" t="s">
        <v>22</v>
      </c>
      <c r="E18" s="470">
        <f>'MEM CANTIDADES'!AO85</f>
        <v>343.34999999999997</v>
      </c>
      <c r="F18" s="471">
        <f>+'APUS '!H119</f>
        <v>79263</v>
      </c>
      <c r="G18" s="567">
        <f t="shared" ref="G18:G19" si="1">E18*F18</f>
        <v>27214951.049999997</v>
      </c>
      <c r="H18" s="131"/>
      <c r="I18" s="13"/>
      <c r="J18" s="13"/>
      <c r="K18" s="13"/>
      <c r="L18" s="13"/>
      <c r="M18" s="13"/>
    </row>
    <row r="19" spans="1:13" ht="71.25" customHeight="1">
      <c r="A19" s="564">
        <v>3.2</v>
      </c>
      <c r="B19" s="135"/>
      <c r="C19" s="469" t="s">
        <v>29</v>
      </c>
      <c r="D19" s="135" t="s">
        <v>30</v>
      </c>
      <c r="E19" s="470">
        <f>'MEM CANTIDADES'!AO104</f>
        <v>10.6</v>
      </c>
      <c r="F19" s="471">
        <f>'APUS '!H147</f>
        <v>214921</v>
      </c>
      <c r="G19" s="567">
        <f t="shared" si="1"/>
        <v>2278162.6</v>
      </c>
      <c r="H19" s="131"/>
      <c r="I19" s="13"/>
      <c r="J19" s="13"/>
      <c r="K19" s="13"/>
      <c r="L19" s="13"/>
      <c r="M19" s="13"/>
    </row>
    <row r="20" spans="1:13" ht="22.5" customHeight="1">
      <c r="A20" s="589" t="s">
        <v>31</v>
      </c>
      <c r="B20" s="590"/>
      <c r="C20" s="590"/>
      <c r="D20" s="590"/>
      <c r="E20" s="590"/>
      <c r="F20" s="590"/>
      <c r="G20" s="568">
        <f>SUM(G18:G19)</f>
        <v>29493113.649999999</v>
      </c>
      <c r="H20" s="131"/>
      <c r="I20" s="13"/>
      <c r="J20" s="13"/>
      <c r="K20" s="13"/>
      <c r="L20" s="13"/>
      <c r="M20" s="13"/>
    </row>
    <row r="21" spans="1:13" ht="22.5" customHeight="1">
      <c r="A21" s="589" t="s">
        <v>32</v>
      </c>
      <c r="B21" s="590"/>
      <c r="C21" s="590"/>
      <c r="D21" s="590"/>
      <c r="E21" s="590"/>
      <c r="F21" s="590"/>
      <c r="G21" s="591"/>
      <c r="H21" s="131"/>
      <c r="I21" s="13"/>
      <c r="J21" s="13"/>
      <c r="K21" s="13"/>
      <c r="L21" s="13"/>
      <c r="M21" s="13"/>
    </row>
    <row r="22" spans="1:13" ht="40.5" customHeight="1">
      <c r="A22" s="564">
        <v>4.0999999999999996</v>
      </c>
      <c r="B22" s="135"/>
      <c r="C22" s="469" t="s">
        <v>33</v>
      </c>
      <c r="D22" s="135" t="s">
        <v>22</v>
      </c>
      <c r="E22" s="135">
        <f>'MEM CANTIDADES'!AO125</f>
        <v>416.88399999999996</v>
      </c>
      <c r="F22" s="471">
        <f>+'APUS '!H178</f>
        <v>15915.392099999997</v>
      </c>
      <c r="G22" s="567">
        <f>+F22*E22</f>
        <v>6634872.3202163978</v>
      </c>
      <c r="H22" s="131"/>
      <c r="I22" s="13"/>
      <c r="J22" s="13"/>
      <c r="K22" s="13"/>
      <c r="L22" s="13"/>
      <c r="M22" s="13"/>
    </row>
    <row r="23" spans="1:13" ht="22.5" customHeight="1">
      <c r="A23" s="589" t="s">
        <v>23</v>
      </c>
      <c r="B23" s="590"/>
      <c r="C23" s="590"/>
      <c r="D23" s="590"/>
      <c r="E23" s="590"/>
      <c r="F23" s="590"/>
      <c r="G23" s="569">
        <f>SUM(G22:G22)</f>
        <v>6634872.3202163978</v>
      </c>
      <c r="H23" s="131"/>
      <c r="I23" s="13"/>
      <c r="J23" s="13"/>
      <c r="K23" s="13"/>
      <c r="L23" s="13"/>
      <c r="M23" s="13"/>
    </row>
    <row r="24" spans="1:13" ht="22.5" customHeight="1">
      <c r="A24" s="589" t="s">
        <v>34</v>
      </c>
      <c r="B24" s="590"/>
      <c r="C24" s="590"/>
      <c r="D24" s="590"/>
      <c r="E24" s="590"/>
      <c r="F24" s="590"/>
      <c r="G24" s="591"/>
      <c r="H24" s="131"/>
      <c r="I24" s="13"/>
      <c r="J24" s="13"/>
      <c r="K24" s="13"/>
      <c r="L24" s="13"/>
      <c r="M24" s="13"/>
    </row>
    <row r="25" spans="1:13" ht="22.5" customHeight="1">
      <c r="A25" s="564">
        <v>5.0999999999999996</v>
      </c>
      <c r="B25" s="135"/>
      <c r="C25" s="538" t="s">
        <v>35</v>
      </c>
      <c r="D25" s="135" t="s">
        <v>30</v>
      </c>
      <c r="E25" s="470">
        <f>'MEM CANTIDADES'!AO145</f>
        <v>105.17149999999999</v>
      </c>
      <c r="F25" s="542">
        <f>'APUS '!H205</f>
        <v>27908.949399999998</v>
      </c>
      <c r="G25" s="567">
        <f>+F25*E25</f>
        <v>2935226.0718220994</v>
      </c>
      <c r="H25" s="131"/>
      <c r="I25" s="13"/>
      <c r="J25" s="13"/>
      <c r="K25" s="13"/>
      <c r="L25" s="13"/>
      <c r="M25" s="13"/>
    </row>
    <row r="26" spans="1:13" s="4" customFormat="1" ht="46.5" customHeight="1">
      <c r="A26" s="564">
        <v>5.2</v>
      </c>
      <c r="B26" s="135"/>
      <c r="C26" s="490" t="s">
        <v>36</v>
      </c>
      <c r="D26" s="135" t="s">
        <v>22</v>
      </c>
      <c r="E26" s="135">
        <f>'MEM CANTIDADES'!AO167</f>
        <v>480</v>
      </c>
      <c r="F26" s="471">
        <f>'APUS '!H233</f>
        <v>14034.801976470586</v>
      </c>
      <c r="G26" s="567">
        <f>+F26*E26</f>
        <v>6736704.9487058809</v>
      </c>
      <c r="H26" s="553"/>
      <c r="I26" s="12"/>
      <c r="J26" s="12"/>
      <c r="K26" s="12"/>
      <c r="L26" s="12"/>
      <c r="M26" s="12"/>
    </row>
    <row r="27" spans="1:13" s="4" customFormat="1" ht="18.75" customHeight="1">
      <c r="A27" s="589" t="s">
        <v>23</v>
      </c>
      <c r="B27" s="590"/>
      <c r="C27" s="590"/>
      <c r="D27" s="590"/>
      <c r="E27" s="590"/>
      <c r="F27" s="590"/>
      <c r="G27" s="570">
        <f>SUM(G25:G26)</f>
        <v>9671931.0205279812</v>
      </c>
      <c r="H27" s="554"/>
      <c r="I27" s="135"/>
      <c r="J27" s="135"/>
      <c r="K27" s="135"/>
      <c r="L27" s="135"/>
      <c r="M27" s="135"/>
    </row>
    <row r="28" spans="1:13" s="4" customFormat="1" ht="6" customHeight="1">
      <c r="A28" s="600"/>
      <c r="B28" s="601"/>
      <c r="C28" s="601"/>
      <c r="D28" s="601"/>
      <c r="E28" s="601"/>
      <c r="F28" s="601"/>
      <c r="G28" s="602"/>
      <c r="H28" s="555"/>
      <c r="I28" s="127"/>
      <c r="J28" s="127"/>
      <c r="K28" s="127"/>
      <c r="L28" s="127"/>
      <c r="M28" s="127"/>
    </row>
    <row r="29" spans="1:13" s="4" customFormat="1" ht="19.5" customHeight="1">
      <c r="A29" s="598" t="s">
        <v>37</v>
      </c>
      <c r="B29" s="599"/>
      <c r="C29" s="599"/>
      <c r="D29" s="599"/>
      <c r="E29" s="599"/>
      <c r="F29" s="599"/>
      <c r="G29" s="571">
        <f>ROUND(G12+G16+G20+G27+G23,-3)</f>
        <v>62495000</v>
      </c>
      <c r="H29" s="553"/>
      <c r="I29" s="12"/>
      <c r="J29" s="12"/>
      <c r="K29" s="12"/>
      <c r="L29" s="12"/>
      <c r="M29" s="12"/>
    </row>
    <row r="30" spans="1:13" s="4" customFormat="1" ht="4.5" customHeight="1">
      <c r="A30" s="595"/>
      <c r="B30" s="596"/>
      <c r="C30" s="596"/>
      <c r="D30" s="596"/>
      <c r="E30" s="596"/>
      <c r="F30" s="596"/>
      <c r="G30" s="597"/>
      <c r="H30" s="644"/>
      <c r="I30" s="596"/>
      <c r="J30" s="596"/>
      <c r="K30" s="596"/>
      <c r="L30" s="596"/>
      <c r="M30" s="596"/>
    </row>
    <row r="31" spans="1:13" s="4" customFormat="1" ht="18">
      <c r="A31" s="653" t="s">
        <v>38</v>
      </c>
      <c r="B31" s="654"/>
      <c r="C31" s="654"/>
      <c r="D31" s="654"/>
      <c r="E31" s="654"/>
      <c r="F31" s="210">
        <v>0.24</v>
      </c>
      <c r="G31" s="572">
        <f>+G29*F31</f>
        <v>14998800</v>
      </c>
      <c r="H31" s="553"/>
      <c r="I31" s="12"/>
      <c r="J31" s="12"/>
      <c r="K31" s="12"/>
      <c r="L31" s="12"/>
      <c r="M31" s="12"/>
    </row>
    <row r="32" spans="1:13" s="4" customFormat="1" ht="18">
      <c r="A32" s="653" t="s">
        <v>39</v>
      </c>
      <c r="B32" s="654"/>
      <c r="C32" s="654"/>
      <c r="D32" s="654"/>
      <c r="E32" s="654"/>
      <c r="F32" s="210">
        <v>0.01</v>
      </c>
      <c r="G32" s="572">
        <f>+G29*F32</f>
        <v>624950</v>
      </c>
      <c r="H32" s="556"/>
      <c r="I32" s="12"/>
      <c r="J32" s="12"/>
      <c r="K32" s="12"/>
      <c r="L32" s="12"/>
      <c r="M32" s="12"/>
    </row>
    <row r="33" spans="1:13" ht="13.15" customHeight="1">
      <c r="A33" s="653" t="s">
        <v>40</v>
      </c>
      <c r="B33" s="654"/>
      <c r="C33" s="654"/>
      <c r="D33" s="654"/>
      <c r="E33" s="654"/>
      <c r="F33" s="210">
        <v>0.05</v>
      </c>
      <c r="G33" s="572">
        <f>+G29*F33</f>
        <v>3124750</v>
      </c>
      <c r="H33" s="131"/>
      <c r="I33" s="13"/>
      <c r="J33" s="13"/>
      <c r="K33" s="13"/>
      <c r="L33" s="13"/>
      <c r="M33" s="13"/>
    </row>
    <row r="34" spans="1:13" ht="7.5" customHeight="1">
      <c r="A34" s="646"/>
      <c r="B34" s="647"/>
      <c r="C34" s="647"/>
      <c r="D34" s="647"/>
      <c r="E34" s="647"/>
      <c r="F34" s="647"/>
      <c r="G34" s="648"/>
      <c r="H34" s="211"/>
      <c r="I34" s="211"/>
      <c r="J34" s="211"/>
      <c r="K34" s="211"/>
      <c r="L34" s="211"/>
      <c r="M34" s="211"/>
    </row>
    <row r="35" spans="1:13" ht="18.75" customHeight="1">
      <c r="A35" s="598" t="s">
        <v>41</v>
      </c>
      <c r="B35" s="655"/>
      <c r="C35" s="599"/>
      <c r="D35" s="599"/>
      <c r="E35" s="599"/>
      <c r="F35" s="599"/>
      <c r="G35" s="571">
        <f>SUM(G31:G33)</f>
        <v>18748500</v>
      </c>
    </row>
    <row r="36" spans="1:13" ht="6" customHeight="1">
      <c r="A36" s="649"/>
      <c r="B36" s="650"/>
      <c r="C36" s="651"/>
      <c r="D36" s="651"/>
      <c r="E36" s="651"/>
      <c r="F36" s="651"/>
      <c r="G36" s="652"/>
      <c r="H36" s="644"/>
      <c r="I36" s="596"/>
      <c r="J36" s="596"/>
      <c r="K36" s="596"/>
      <c r="L36" s="596"/>
      <c r="M36" s="645"/>
    </row>
    <row r="37" spans="1:13" ht="4.5" customHeight="1">
      <c r="A37" s="586"/>
      <c r="B37" s="587"/>
      <c r="C37" s="587"/>
      <c r="D37" s="587"/>
      <c r="E37" s="587"/>
      <c r="F37" s="587"/>
      <c r="G37" s="588"/>
      <c r="H37" s="5"/>
      <c r="I37" s="5"/>
      <c r="J37" s="5"/>
      <c r="K37" s="5"/>
      <c r="L37" s="5"/>
      <c r="M37" s="5"/>
    </row>
    <row r="38" spans="1:13" ht="19.5" customHeight="1" thickBot="1">
      <c r="A38" s="621" t="s">
        <v>42</v>
      </c>
      <c r="B38" s="622"/>
      <c r="C38" s="623"/>
      <c r="D38" s="623"/>
      <c r="E38" s="623"/>
      <c r="F38" s="623"/>
      <c r="G38" s="573">
        <f>ROUND(G29+G35,-3)</f>
        <v>81244000</v>
      </c>
    </row>
    <row r="39" spans="1:13" ht="5.25" customHeight="1">
      <c r="A39" s="632"/>
      <c r="B39" s="633"/>
      <c r="C39" s="633"/>
      <c r="D39" s="633"/>
      <c r="E39" s="633"/>
      <c r="F39" s="633"/>
      <c r="G39" s="634"/>
    </row>
    <row r="40" spans="1:13" ht="6.75" customHeight="1">
      <c r="A40" s="635"/>
      <c r="B40" s="636"/>
      <c r="C40" s="636"/>
      <c r="D40" s="636"/>
      <c r="E40" s="636"/>
      <c r="F40" s="636"/>
      <c r="G40" s="637"/>
    </row>
    <row r="41" spans="1:13" ht="26.25" customHeight="1">
      <c r="A41" s="638" t="s">
        <v>43</v>
      </c>
      <c r="B41" s="639"/>
      <c r="C41" s="639"/>
      <c r="D41" s="639"/>
      <c r="E41" s="639"/>
      <c r="F41" s="639"/>
      <c r="G41" s="640"/>
      <c r="H41" s="8"/>
    </row>
    <row r="42" spans="1:13" ht="61.5" customHeight="1">
      <c r="A42" s="641"/>
      <c r="B42" s="642"/>
      <c r="C42" s="642"/>
      <c r="D42" s="642"/>
      <c r="E42" s="642"/>
      <c r="F42" s="642"/>
      <c r="G42" s="643"/>
    </row>
    <row r="43" spans="1:13">
      <c r="A43" s="624" t="s">
        <v>1</v>
      </c>
      <c r="B43" s="625"/>
      <c r="C43" s="625"/>
      <c r="D43" s="625"/>
      <c r="E43" s="625"/>
      <c r="F43" s="625"/>
      <c r="G43" s="626"/>
    </row>
    <row r="44" spans="1:13">
      <c r="A44" s="627" t="s">
        <v>2</v>
      </c>
      <c r="B44" s="620"/>
      <c r="C44" s="620"/>
      <c r="D44" s="620"/>
      <c r="E44" s="620"/>
      <c r="F44" s="620"/>
      <c r="G44" s="628"/>
    </row>
    <row r="45" spans="1:13" ht="13.5" thickBot="1">
      <c r="A45" s="629" t="s">
        <v>44</v>
      </c>
      <c r="B45" s="630"/>
      <c r="C45" s="630"/>
      <c r="D45" s="630"/>
      <c r="E45" s="630"/>
      <c r="F45" s="630"/>
      <c r="G45" s="631"/>
    </row>
    <row r="46" spans="1:13">
      <c r="A46" s="620"/>
      <c r="B46" s="620"/>
      <c r="C46" s="620"/>
      <c r="D46" s="620"/>
      <c r="E46" s="620"/>
      <c r="F46" s="620"/>
      <c r="G46" s="620"/>
    </row>
    <row r="47" spans="1:13">
      <c r="A47" s="620"/>
      <c r="B47" s="620"/>
      <c r="C47" s="620"/>
      <c r="D47" s="620"/>
      <c r="E47" s="620"/>
      <c r="F47" s="620"/>
      <c r="G47" s="620"/>
    </row>
    <row r="48" spans="1:13">
      <c r="E48" s="10"/>
      <c r="F48" s="6"/>
      <c r="G48" s="6"/>
    </row>
    <row r="49" spans="1:7" ht="28.5" customHeight="1">
      <c r="E49" s="10"/>
      <c r="F49" s="6"/>
      <c r="G49" s="6"/>
    </row>
    <row r="50" spans="1:7" ht="18">
      <c r="A50" s="619"/>
      <c r="B50" s="619"/>
      <c r="C50" s="619"/>
      <c r="E50" s="10"/>
      <c r="F50" s="6"/>
      <c r="G50" s="6"/>
    </row>
    <row r="51" spans="1:7">
      <c r="A51" s="618"/>
      <c r="B51" s="618"/>
      <c r="C51" s="618"/>
      <c r="E51" s="10"/>
      <c r="F51" s="6"/>
      <c r="G51" s="6"/>
    </row>
    <row r="52" spans="1:7">
      <c r="A52" s="618"/>
      <c r="B52" s="618"/>
      <c r="C52" s="618"/>
      <c r="E52" s="10"/>
      <c r="F52" s="6"/>
      <c r="G52" s="6"/>
    </row>
    <row r="53" spans="1:7" ht="14.25">
      <c r="A53" s="618"/>
      <c r="B53" s="618"/>
      <c r="C53" s="618"/>
      <c r="E53" s="10"/>
      <c r="F53" s="6"/>
      <c r="G53" s="6"/>
    </row>
    <row r="54" spans="1:7">
      <c r="E54" s="10"/>
      <c r="F54" s="6"/>
      <c r="G54" s="6"/>
    </row>
    <row r="55" spans="1:7">
      <c r="E55" s="10"/>
      <c r="F55" s="6"/>
      <c r="G55" s="6"/>
    </row>
  </sheetData>
  <mergeCells count="44">
    <mergeCell ref="H36:M36"/>
    <mergeCell ref="A34:G34"/>
    <mergeCell ref="H30:M30"/>
    <mergeCell ref="A21:G21"/>
    <mergeCell ref="A23:F23"/>
    <mergeCell ref="A24:G24"/>
    <mergeCell ref="A36:G36"/>
    <mergeCell ref="A31:E31"/>
    <mergeCell ref="A33:E33"/>
    <mergeCell ref="A35:F35"/>
    <mergeCell ref="A32:E32"/>
    <mergeCell ref="A53:C53"/>
    <mergeCell ref="A50:C50"/>
    <mergeCell ref="A51:C52"/>
    <mergeCell ref="A47:G47"/>
    <mergeCell ref="A38:F38"/>
    <mergeCell ref="A43:G43"/>
    <mergeCell ref="A44:G44"/>
    <mergeCell ref="A45:G45"/>
    <mergeCell ref="A46:G46"/>
    <mergeCell ref="A39:G39"/>
    <mergeCell ref="A40:G40"/>
    <mergeCell ref="A41:G42"/>
    <mergeCell ref="A1:C1"/>
    <mergeCell ref="A30:G30"/>
    <mergeCell ref="A29:F29"/>
    <mergeCell ref="A28:G28"/>
    <mergeCell ref="A27:F27"/>
    <mergeCell ref="A7:G7"/>
    <mergeCell ref="A10:G10"/>
    <mergeCell ref="A12:F12"/>
    <mergeCell ref="A9:G9"/>
    <mergeCell ref="A3:G3"/>
    <mergeCell ref="A13:G13"/>
    <mergeCell ref="A16:F16"/>
    <mergeCell ref="A2:G2"/>
    <mergeCell ref="A4:F4"/>
    <mergeCell ref="C5:E5"/>
    <mergeCell ref="C6:E6"/>
    <mergeCell ref="A5:B5"/>
    <mergeCell ref="A6:B6"/>
    <mergeCell ref="A37:G37"/>
    <mergeCell ref="A20:F20"/>
    <mergeCell ref="A17:G17"/>
  </mergeCells>
  <pageMargins left="0.7" right="0.7" top="0.75" bottom="0.75" header="0.3" footer="0.3"/>
  <pageSetup scale="5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FEF2CB"/>
  </sheetPr>
  <dimension ref="A1:AQ180"/>
  <sheetViews>
    <sheetView topLeftCell="A163" zoomScale="70" zoomScaleNormal="70" workbookViewId="0">
      <selection activeCell="S181" sqref="S181"/>
    </sheetView>
  </sheetViews>
  <sheetFormatPr baseColWidth="10" defaultColWidth="14" defaultRowHeight="15" customHeight="1"/>
  <cols>
    <col min="1" max="1" width="6.28515625" style="113" customWidth="1"/>
    <col min="2" max="31" width="3.7109375" style="78" customWidth="1"/>
    <col min="32" max="32" width="5.140625" style="78" customWidth="1"/>
    <col min="33" max="33" width="3.85546875" style="78" customWidth="1"/>
    <col min="34" max="34" width="5.7109375" style="78" customWidth="1"/>
    <col min="35" max="39" width="10.7109375" style="78" customWidth="1"/>
    <col min="40" max="40" width="38.42578125" style="78" customWidth="1"/>
    <col min="41" max="41" width="17.85546875" style="78" customWidth="1"/>
    <col min="42" max="42" width="6.28515625" style="113" customWidth="1"/>
    <col min="43" max="43" width="9.140625" style="78" customWidth="1"/>
    <col min="44" max="16384" width="14" style="78"/>
  </cols>
  <sheetData>
    <row r="1" spans="1:43" ht="24" customHeight="1" thickBot="1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7"/>
    </row>
    <row r="2" spans="1:43" ht="34.9" customHeight="1">
      <c r="A2" s="76"/>
      <c r="B2" s="712" t="s">
        <v>0</v>
      </c>
      <c r="C2" s="713"/>
      <c r="D2" s="713"/>
      <c r="E2" s="713"/>
      <c r="F2" s="713"/>
      <c r="G2" s="713"/>
      <c r="H2" s="713"/>
      <c r="I2" s="713"/>
      <c r="J2" s="713"/>
      <c r="K2" s="713"/>
      <c r="L2" s="713"/>
      <c r="M2" s="713"/>
      <c r="N2" s="713"/>
      <c r="O2" s="713"/>
      <c r="P2" s="713"/>
      <c r="Q2" s="713"/>
      <c r="R2" s="713"/>
      <c r="S2" s="713"/>
      <c r="T2" s="713"/>
      <c r="U2" s="713"/>
      <c r="V2" s="713"/>
      <c r="W2" s="713"/>
      <c r="X2" s="713"/>
      <c r="Y2" s="713"/>
      <c r="Z2" s="713"/>
      <c r="AA2" s="713"/>
      <c r="AB2" s="713"/>
      <c r="AC2" s="713"/>
      <c r="AD2" s="713"/>
      <c r="AE2" s="713"/>
      <c r="AF2" s="713"/>
      <c r="AG2" s="713"/>
      <c r="AH2" s="713"/>
      <c r="AI2" s="713"/>
      <c r="AJ2" s="714"/>
      <c r="AK2" s="130"/>
      <c r="AL2" s="130"/>
      <c r="AM2" s="130"/>
      <c r="AN2" s="656"/>
      <c r="AO2" s="657"/>
      <c r="AP2" s="76"/>
      <c r="AQ2" s="77"/>
    </row>
    <row r="3" spans="1:43" ht="34.9" customHeight="1">
      <c r="A3" s="76"/>
      <c r="B3" s="715"/>
      <c r="C3" s="716"/>
      <c r="D3" s="716"/>
      <c r="E3" s="716"/>
      <c r="F3" s="716"/>
      <c r="G3" s="716"/>
      <c r="H3" s="716"/>
      <c r="I3" s="716"/>
      <c r="J3" s="716"/>
      <c r="K3" s="716"/>
      <c r="L3" s="716"/>
      <c r="M3" s="716"/>
      <c r="N3" s="716"/>
      <c r="O3" s="716"/>
      <c r="P3" s="716"/>
      <c r="Q3" s="716"/>
      <c r="R3" s="716"/>
      <c r="S3" s="716"/>
      <c r="T3" s="716"/>
      <c r="U3" s="716"/>
      <c r="V3" s="716"/>
      <c r="W3" s="716"/>
      <c r="X3" s="716"/>
      <c r="Y3" s="716"/>
      <c r="Z3" s="716"/>
      <c r="AA3" s="716"/>
      <c r="AB3" s="716"/>
      <c r="AC3" s="716"/>
      <c r="AD3" s="716"/>
      <c r="AE3" s="716"/>
      <c r="AF3" s="716"/>
      <c r="AG3" s="716"/>
      <c r="AH3" s="716"/>
      <c r="AI3" s="716"/>
      <c r="AJ3" s="717"/>
      <c r="AK3" s="76"/>
      <c r="AL3" s="76"/>
      <c r="AM3" s="76"/>
      <c r="AN3" s="658"/>
      <c r="AO3" s="659"/>
      <c r="AP3" s="76"/>
      <c r="AQ3" s="77"/>
    </row>
    <row r="4" spans="1:43" ht="34.9" customHeight="1">
      <c r="A4" s="76"/>
      <c r="B4" s="715"/>
      <c r="C4" s="716"/>
      <c r="D4" s="716"/>
      <c r="E4" s="716"/>
      <c r="F4" s="716"/>
      <c r="G4" s="716"/>
      <c r="H4" s="716"/>
      <c r="I4" s="716"/>
      <c r="J4" s="716"/>
      <c r="K4" s="716"/>
      <c r="L4" s="716"/>
      <c r="M4" s="716"/>
      <c r="N4" s="716"/>
      <c r="O4" s="716"/>
      <c r="P4" s="716"/>
      <c r="Q4" s="716"/>
      <c r="R4" s="716"/>
      <c r="S4" s="716"/>
      <c r="T4" s="716"/>
      <c r="U4" s="716"/>
      <c r="V4" s="716"/>
      <c r="W4" s="716"/>
      <c r="X4" s="716"/>
      <c r="Y4" s="716"/>
      <c r="Z4" s="716"/>
      <c r="AA4" s="716"/>
      <c r="AB4" s="716"/>
      <c r="AC4" s="716"/>
      <c r="AD4" s="716"/>
      <c r="AE4" s="716"/>
      <c r="AF4" s="716"/>
      <c r="AG4" s="716"/>
      <c r="AH4" s="716"/>
      <c r="AI4" s="716"/>
      <c r="AJ4" s="717"/>
      <c r="AK4" s="76"/>
      <c r="AL4" s="76"/>
      <c r="AM4" s="76"/>
      <c r="AN4" s="658"/>
      <c r="AO4" s="659"/>
      <c r="AP4" s="76"/>
      <c r="AQ4" s="77"/>
    </row>
    <row r="5" spans="1:43" ht="34.9" customHeight="1">
      <c r="A5" s="76"/>
      <c r="B5" s="718"/>
      <c r="C5" s="719"/>
      <c r="D5" s="719"/>
      <c r="E5" s="719"/>
      <c r="F5" s="719"/>
      <c r="G5" s="719"/>
      <c r="H5" s="719"/>
      <c r="I5" s="719"/>
      <c r="J5" s="719"/>
      <c r="K5" s="719"/>
      <c r="L5" s="719"/>
      <c r="M5" s="719"/>
      <c r="N5" s="719"/>
      <c r="O5" s="719"/>
      <c r="P5" s="719"/>
      <c r="Q5" s="719"/>
      <c r="R5" s="719"/>
      <c r="S5" s="719"/>
      <c r="T5" s="719"/>
      <c r="U5" s="719"/>
      <c r="V5" s="719"/>
      <c r="W5" s="719"/>
      <c r="X5" s="719"/>
      <c r="Y5" s="719"/>
      <c r="Z5" s="719"/>
      <c r="AA5" s="719"/>
      <c r="AB5" s="719"/>
      <c r="AC5" s="719"/>
      <c r="AD5" s="719"/>
      <c r="AE5" s="719"/>
      <c r="AF5" s="719"/>
      <c r="AG5" s="719"/>
      <c r="AH5" s="719"/>
      <c r="AI5" s="719"/>
      <c r="AJ5" s="720"/>
      <c r="AK5" s="76"/>
      <c r="AL5" s="76"/>
      <c r="AM5" s="76"/>
      <c r="AN5" s="658"/>
      <c r="AO5" s="659"/>
      <c r="AP5" s="76"/>
      <c r="AQ5" s="77"/>
    </row>
    <row r="6" spans="1:43" ht="38.450000000000003" customHeight="1" thickBot="1">
      <c r="A6" s="76"/>
      <c r="B6" s="660" t="s">
        <v>45</v>
      </c>
      <c r="C6" s="661"/>
      <c r="D6" s="661"/>
      <c r="E6" s="661"/>
      <c r="F6" s="661"/>
      <c r="G6" s="661"/>
      <c r="H6" s="661"/>
      <c r="I6" s="661"/>
      <c r="J6" s="661"/>
      <c r="K6" s="661"/>
      <c r="L6" s="661"/>
      <c r="M6" s="661"/>
      <c r="N6" s="661"/>
      <c r="O6" s="661"/>
      <c r="P6" s="661"/>
      <c r="Q6" s="661"/>
      <c r="R6" s="661"/>
      <c r="S6" s="661"/>
      <c r="T6" s="661"/>
      <c r="U6" s="661"/>
      <c r="V6" s="661"/>
      <c r="W6" s="661"/>
      <c r="X6" s="661"/>
      <c r="Y6" s="661"/>
      <c r="Z6" s="661"/>
      <c r="AA6" s="661"/>
      <c r="AB6" s="661"/>
      <c r="AC6" s="661"/>
      <c r="AD6" s="661"/>
      <c r="AE6" s="661"/>
      <c r="AF6" s="661"/>
      <c r="AG6" s="661"/>
      <c r="AH6" s="661"/>
      <c r="AI6" s="661"/>
      <c r="AJ6" s="661"/>
      <c r="AK6" s="661"/>
      <c r="AL6" s="661"/>
      <c r="AM6" s="662"/>
      <c r="AN6" s="663" t="s">
        <v>46</v>
      </c>
      <c r="AO6" s="664"/>
      <c r="AP6" s="76"/>
      <c r="AQ6" s="77"/>
    </row>
    <row r="7" spans="1:43" ht="24" customHeight="1" thickBot="1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7"/>
    </row>
    <row r="8" spans="1:43" ht="24" customHeight="1">
      <c r="A8" s="76"/>
      <c r="B8" s="680"/>
      <c r="C8" s="681"/>
      <c r="D8" s="681"/>
      <c r="E8" s="681"/>
      <c r="F8" s="681"/>
      <c r="G8" s="681"/>
      <c r="H8" s="681"/>
      <c r="I8" s="682"/>
      <c r="J8" s="689" t="s">
        <v>45</v>
      </c>
      <c r="K8" s="690"/>
      <c r="L8" s="690"/>
      <c r="M8" s="690"/>
      <c r="N8" s="690"/>
      <c r="O8" s="690"/>
      <c r="P8" s="690"/>
      <c r="Q8" s="690"/>
      <c r="R8" s="690"/>
      <c r="S8" s="690"/>
      <c r="T8" s="690"/>
      <c r="U8" s="690"/>
      <c r="V8" s="690"/>
      <c r="W8" s="690"/>
      <c r="X8" s="690"/>
      <c r="Y8" s="690"/>
      <c r="Z8" s="690"/>
      <c r="AA8" s="690"/>
      <c r="AB8" s="690"/>
      <c r="AC8" s="690"/>
      <c r="AD8" s="690"/>
      <c r="AE8" s="690"/>
      <c r="AF8" s="690"/>
      <c r="AG8" s="690"/>
      <c r="AH8" s="690"/>
      <c r="AI8" s="690"/>
      <c r="AJ8" s="690"/>
      <c r="AK8" s="690"/>
      <c r="AL8" s="690"/>
      <c r="AM8" s="690"/>
      <c r="AN8" s="691"/>
      <c r="AO8" s="79" t="s">
        <v>47</v>
      </c>
      <c r="AP8" s="76"/>
      <c r="AQ8" s="77"/>
    </row>
    <row r="9" spans="1:43" ht="24" customHeight="1">
      <c r="A9" s="76"/>
      <c r="B9" s="683"/>
      <c r="C9" s="684"/>
      <c r="D9" s="684"/>
      <c r="E9" s="684"/>
      <c r="F9" s="684"/>
      <c r="G9" s="684"/>
      <c r="H9" s="684"/>
      <c r="I9" s="685"/>
      <c r="J9" s="692"/>
      <c r="K9" s="693"/>
      <c r="L9" s="693"/>
      <c r="M9" s="693"/>
      <c r="N9" s="693"/>
      <c r="O9" s="693"/>
      <c r="P9" s="693"/>
      <c r="Q9" s="693"/>
      <c r="R9" s="693"/>
      <c r="S9" s="693"/>
      <c r="T9" s="693"/>
      <c r="U9" s="693"/>
      <c r="V9" s="693"/>
      <c r="W9" s="693"/>
      <c r="X9" s="693"/>
      <c r="Y9" s="693"/>
      <c r="Z9" s="693"/>
      <c r="AA9" s="693"/>
      <c r="AB9" s="693"/>
      <c r="AC9" s="693"/>
      <c r="AD9" s="693"/>
      <c r="AE9" s="693"/>
      <c r="AF9" s="693"/>
      <c r="AG9" s="693"/>
      <c r="AH9" s="693"/>
      <c r="AI9" s="693"/>
      <c r="AJ9" s="693"/>
      <c r="AK9" s="693"/>
      <c r="AL9" s="693"/>
      <c r="AM9" s="693"/>
      <c r="AN9" s="694"/>
      <c r="AO9" s="80" t="s">
        <v>48</v>
      </c>
      <c r="AP9" s="76"/>
      <c r="AQ9" s="77"/>
    </row>
    <row r="10" spans="1:43" ht="24" customHeight="1">
      <c r="A10" s="76"/>
      <c r="B10" s="686"/>
      <c r="C10" s="687"/>
      <c r="D10" s="687"/>
      <c r="E10" s="687"/>
      <c r="F10" s="687"/>
      <c r="G10" s="687"/>
      <c r="H10" s="687"/>
      <c r="I10" s="688"/>
      <c r="J10" s="695"/>
      <c r="K10" s="696"/>
      <c r="L10" s="696"/>
      <c r="M10" s="696"/>
      <c r="N10" s="696"/>
      <c r="O10" s="696"/>
      <c r="P10" s="696"/>
      <c r="Q10" s="696"/>
      <c r="R10" s="696"/>
      <c r="S10" s="696"/>
      <c r="T10" s="696"/>
      <c r="U10" s="696"/>
      <c r="V10" s="696"/>
      <c r="W10" s="696"/>
      <c r="X10" s="696"/>
      <c r="Y10" s="696"/>
      <c r="Z10" s="696"/>
      <c r="AA10" s="696"/>
      <c r="AB10" s="696"/>
      <c r="AC10" s="696"/>
      <c r="AD10" s="696"/>
      <c r="AE10" s="696"/>
      <c r="AF10" s="696"/>
      <c r="AG10" s="696"/>
      <c r="AH10" s="696"/>
      <c r="AI10" s="696"/>
      <c r="AJ10" s="696"/>
      <c r="AK10" s="696"/>
      <c r="AL10" s="696"/>
      <c r="AM10" s="696"/>
      <c r="AN10" s="697"/>
      <c r="AO10" s="80" t="s">
        <v>49</v>
      </c>
      <c r="AP10" s="76"/>
      <c r="AQ10" s="77"/>
    </row>
    <row r="11" spans="1:43" ht="24" customHeight="1">
      <c r="A11" s="76"/>
      <c r="B11" s="698"/>
      <c r="C11" s="699"/>
      <c r="D11" s="699"/>
      <c r="E11" s="699"/>
      <c r="F11" s="699"/>
      <c r="G11" s="699"/>
      <c r="H11" s="574"/>
      <c r="I11" s="574"/>
      <c r="J11" s="574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/>
      <c r="AJ11" s="574"/>
      <c r="AK11" s="574"/>
      <c r="AL11" s="574"/>
      <c r="AM11" s="574"/>
      <c r="AN11" s="574"/>
      <c r="AO11" s="81"/>
      <c r="AP11" s="76"/>
      <c r="AQ11" s="77"/>
    </row>
    <row r="12" spans="1:43" ht="24" customHeight="1">
      <c r="A12" s="76"/>
      <c r="B12" s="700" t="s">
        <v>50</v>
      </c>
      <c r="C12" s="701"/>
      <c r="D12" s="701"/>
      <c r="E12" s="701"/>
      <c r="F12" s="701"/>
      <c r="G12" s="701"/>
      <c r="H12" s="702"/>
      <c r="I12" s="706" t="str">
        <f>+PRESUPUESTO!$A$1</f>
        <v>" MEJORAMIENTO, ADECUACIÓN MENOR Y MANTENIMIENTO DE LA INFRAESTRUCTURA DE LAS INSTITUCIONES EDUCATIVAS URBANAS Y RURALES DEL MUNICIPIO DE SAN JOSÉ DE CÚCUTA"</v>
      </c>
      <c r="J12" s="701"/>
      <c r="K12" s="701"/>
      <c r="L12" s="701"/>
      <c r="M12" s="701"/>
      <c r="N12" s="701"/>
      <c r="O12" s="701"/>
      <c r="P12" s="701"/>
      <c r="Q12" s="701"/>
      <c r="R12" s="701"/>
      <c r="S12" s="701"/>
      <c r="T12" s="701"/>
      <c r="U12" s="701"/>
      <c r="V12" s="701"/>
      <c r="W12" s="701"/>
      <c r="X12" s="701"/>
      <c r="Y12" s="701"/>
      <c r="Z12" s="701"/>
      <c r="AA12" s="701"/>
      <c r="AB12" s="702"/>
      <c r="AC12" s="708" t="s">
        <v>51</v>
      </c>
      <c r="AD12" s="701"/>
      <c r="AE12" s="701"/>
      <c r="AF12" s="701"/>
      <c r="AG12" s="701"/>
      <c r="AH12" s="702"/>
      <c r="AI12" s="82" t="s">
        <v>52</v>
      </c>
      <c r="AJ12" s="82" t="s">
        <v>53</v>
      </c>
      <c r="AK12" s="709" t="s">
        <v>54</v>
      </c>
      <c r="AL12" s="667"/>
      <c r="AM12" s="710" t="s">
        <v>55</v>
      </c>
      <c r="AN12" s="666"/>
      <c r="AO12" s="711"/>
      <c r="AP12" s="76"/>
      <c r="AQ12" s="77"/>
    </row>
    <row r="13" spans="1:43" ht="24" customHeight="1">
      <c r="A13" s="76"/>
      <c r="B13" s="703"/>
      <c r="C13" s="704"/>
      <c r="D13" s="704"/>
      <c r="E13" s="704"/>
      <c r="F13" s="704"/>
      <c r="G13" s="704"/>
      <c r="H13" s="705"/>
      <c r="I13" s="707"/>
      <c r="J13" s="704"/>
      <c r="K13" s="704"/>
      <c r="L13" s="704"/>
      <c r="M13" s="704"/>
      <c r="N13" s="704"/>
      <c r="O13" s="704"/>
      <c r="P13" s="704"/>
      <c r="Q13" s="704"/>
      <c r="R13" s="704"/>
      <c r="S13" s="704"/>
      <c r="T13" s="704"/>
      <c r="U13" s="704"/>
      <c r="V13" s="704"/>
      <c r="W13" s="704"/>
      <c r="X13" s="704"/>
      <c r="Y13" s="704"/>
      <c r="Z13" s="704"/>
      <c r="AA13" s="704"/>
      <c r="AB13" s="705"/>
      <c r="AC13" s="707"/>
      <c r="AD13" s="704"/>
      <c r="AE13" s="704"/>
      <c r="AF13" s="704"/>
      <c r="AG13" s="704"/>
      <c r="AH13" s="705"/>
      <c r="AI13" s="83"/>
      <c r="AJ13" s="83"/>
      <c r="AK13" s="760"/>
      <c r="AL13" s="667"/>
      <c r="AM13" s="762" t="s">
        <v>56</v>
      </c>
      <c r="AN13" s="666"/>
      <c r="AO13" s="711"/>
      <c r="AP13" s="76"/>
      <c r="AQ13" s="77"/>
    </row>
    <row r="14" spans="1:43" ht="24" customHeight="1">
      <c r="A14" s="76"/>
      <c r="B14" s="665" t="s">
        <v>57</v>
      </c>
      <c r="C14" s="666"/>
      <c r="D14" s="666"/>
      <c r="E14" s="666"/>
      <c r="F14" s="666"/>
      <c r="G14" s="666"/>
      <c r="H14" s="666"/>
      <c r="I14" s="667"/>
      <c r="J14" s="726"/>
      <c r="K14" s="666"/>
      <c r="L14" s="666"/>
      <c r="M14" s="666"/>
      <c r="N14" s="666"/>
      <c r="O14" s="666"/>
      <c r="P14" s="666"/>
      <c r="Q14" s="666"/>
      <c r="R14" s="666"/>
      <c r="S14" s="666"/>
      <c r="T14" s="666"/>
      <c r="U14" s="666"/>
      <c r="V14" s="666"/>
      <c r="W14" s="666"/>
      <c r="X14" s="666"/>
      <c r="Y14" s="666"/>
      <c r="Z14" s="666"/>
      <c r="AA14" s="666"/>
      <c r="AB14" s="667"/>
      <c r="AC14" s="729" t="s">
        <v>58</v>
      </c>
      <c r="AD14" s="666"/>
      <c r="AE14" s="666"/>
      <c r="AF14" s="666"/>
      <c r="AG14" s="666"/>
      <c r="AH14" s="667"/>
      <c r="AI14" s="732"/>
      <c r="AJ14" s="666"/>
      <c r="AK14" s="666"/>
      <c r="AL14" s="667"/>
      <c r="AM14" s="735" t="s">
        <v>59</v>
      </c>
      <c r="AN14" s="702"/>
      <c r="AO14" s="543" t="str">
        <f>PRESUPUESTO!D11</f>
        <v>M2</v>
      </c>
      <c r="AP14" s="76"/>
      <c r="AQ14" s="77"/>
    </row>
    <row r="15" spans="1:43" ht="24" customHeight="1">
      <c r="A15" s="76"/>
      <c r="B15" s="668" t="s">
        <v>60</v>
      </c>
      <c r="C15" s="666"/>
      <c r="D15" s="666"/>
      <c r="E15" s="666"/>
      <c r="F15" s="666"/>
      <c r="G15" s="666"/>
      <c r="H15" s="666"/>
      <c r="I15" s="667"/>
      <c r="J15" s="669" t="str">
        <f>PRESUPUESTO!$A$10</f>
        <v>1.0 PRELIMINARES</v>
      </c>
      <c r="K15" s="670"/>
      <c r="L15" s="670"/>
      <c r="M15" s="670"/>
      <c r="N15" s="670"/>
      <c r="O15" s="670"/>
      <c r="P15" s="670"/>
      <c r="Q15" s="670"/>
      <c r="R15" s="670"/>
      <c r="S15" s="670"/>
      <c r="T15" s="670"/>
      <c r="U15" s="670"/>
      <c r="V15" s="670"/>
      <c r="W15" s="670"/>
      <c r="X15" s="670"/>
      <c r="Y15" s="670"/>
      <c r="Z15" s="670"/>
      <c r="AA15" s="670"/>
      <c r="AB15" s="670"/>
      <c r="AC15" s="670"/>
      <c r="AD15" s="670"/>
      <c r="AE15" s="670"/>
      <c r="AF15" s="671"/>
      <c r="AG15" s="672"/>
      <c r="AH15" s="675" t="s">
        <v>61</v>
      </c>
      <c r="AI15" s="677" t="s">
        <v>62</v>
      </c>
      <c r="AJ15" s="666"/>
      <c r="AK15" s="667"/>
      <c r="AL15" s="678" t="s">
        <v>63</v>
      </c>
      <c r="AM15" s="678" t="s">
        <v>64</v>
      </c>
      <c r="AN15" s="679" t="s">
        <v>65</v>
      </c>
      <c r="AO15" s="721" t="s">
        <v>66</v>
      </c>
      <c r="AP15" s="76"/>
      <c r="AQ15" s="77"/>
    </row>
    <row r="16" spans="1:43" ht="78" customHeight="1">
      <c r="A16" s="76"/>
      <c r="B16" s="723" t="s">
        <v>67</v>
      </c>
      <c r="C16" s="701"/>
      <c r="D16" s="701"/>
      <c r="E16" s="701"/>
      <c r="F16" s="701"/>
      <c r="G16" s="701"/>
      <c r="H16" s="701"/>
      <c r="I16" s="702"/>
      <c r="J16" s="724">
        <f>+PRESUPUESTO!A11</f>
        <v>1.1000000000000001</v>
      </c>
      <c r="K16" s="725"/>
      <c r="L16" s="809" t="str">
        <f>+PRESUPUESTO!C11</f>
        <v>DESMONTE, DEMOLICIONES Y RETIRO DE ALISTADO O PLANTILLA DE NIVELACION DE PISO (TORTA) CONSIDERANDO EL ESTADO DE LA MISMA EN EL SITIO</v>
      </c>
      <c r="M16" s="701"/>
      <c r="N16" s="701"/>
      <c r="O16" s="701"/>
      <c r="P16" s="701"/>
      <c r="Q16" s="701"/>
      <c r="R16" s="701"/>
      <c r="S16" s="701"/>
      <c r="T16" s="701"/>
      <c r="U16" s="701"/>
      <c r="V16" s="701"/>
      <c r="W16" s="701"/>
      <c r="X16" s="701"/>
      <c r="Y16" s="701"/>
      <c r="Z16" s="701"/>
      <c r="AA16" s="701"/>
      <c r="AB16" s="701"/>
      <c r="AC16" s="701"/>
      <c r="AD16" s="701"/>
      <c r="AE16" s="701"/>
      <c r="AF16" s="702"/>
      <c r="AG16" s="673"/>
      <c r="AH16" s="676"/>
      <c r="AI16" s="84" t="s">
        <v>68</v>
      </c>
      <c r="AJ16" s="84" t="s">
        <v>69</v>
      </c>
      <c r="AK16" s="84" t="s">
        <v>70</v>
      </c>
      <c r="AL16" s="676"/>
      <c r="AM16" s="676"/>
      <c r="AN16" s="676"/>
      <c r="AO16" s="722"/>
      <c r="AP16" s="76"/>
      <c r="AQ16" s="77"/>
    </row>
    <row r="17" spans="1:43" ht="24" customHeight="1">
      <c r="A17" s="76"/>
      <c r="B17" s="85"/>
      <c r="C17" s="86"/>
      <c r="D17" s="86"/>
      <c r="E17" s="87"/>
      <c r="F17" s="88"/>
      <c r="G17" s="89"/>
      <c r="H17" s="89"/>
      <c r="I17" s="88"/>
      <c r="J17" s="90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89"/>
      <c r="X17" s="89"/>
      <c r="Y17" s="89"/>
      <c r="Z17" s="92"/>
      <c r="AA17" s="89"/>
      <c r="AB17" s="91"/>
      <c r="AC17" s="91"/>
      <c r="AD17" s="91"/>
      <c r="AE17" s="93"/>
      <c r="AF17" s="94"/>
      <c r="AG17" s="673"/>
      <c r="AH17" s="95"/>
      <c r="AI17" s="96"/>
      <c r="AJ17" s="96"/>
      <c r="AK17" s="96"/>
      <c r="AL17" s="96"/>
      <c r="AM17" s="96"/>
      <c r="AN17" s="97"/>
      <c r="AO17" s="98"/>
      <c r="AP17" s="76"/>
      <c r="AQ17" s="77"/>
    </row>
    <row r="18" spans="1:43" s="144" customFormat="1" ht="24" customHeight="1">
      <c r="A18" s="143"/>
      <c r="B18" s="99"/>
      <c r="C18" s="115"/>
      <c r="D18" s="115"/>
      <c r="E18" s="115"/>
      <c r="F18" s="115"/>
      <c r="G18" s="115"/>
      <c r="H18" s="57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40"/>
      <c r="AE18" s="115"/>
      <c r="AF18" s="100"/>
      <c r="AG18" s="673"/>
      <c r="AH18" s="95"/>
      <c r="AI18" s="114">
        <f>(18+4.2+2.45)</f>
        <v>24.65</v>
      </c>
      <c r="AJ18" s="114">
        <f>(2.65+2.03)</f>
        <v>4.68</v>
      </c>
      <c r="AK18" s="114"/>
      <c r="AL18" s="118">
        <f>AI18*AJ18</f>
        <v>115.36199999999998</v>
      </c>
      <c r="AM18" s="118">
        <v>1</v>
      </c>
      <c r="AN18" s="117" t="s">
        <v>71</v>
      </c>
      <c r="AO18" s="119">
        <f>+AL18*AM18</f>
        <v>115.36199999999998</v>
      </c>
      <c r="AP18" s="143"/>
      <c r="AQ18" s="467"/>
    </row>
    <row r="19" spans="1:43" s="144" customFormat="1" ht="24" customHeight="1">
      <c r="A19" s="143"/>
      <c r="B19" s="99"/>
      <c r="C19" s="115"/>
      <c r="D19" s="115"/>
      <c r="E19" s="115"/>
      <c r="F19" s="115"/>
      <c r="G19" s="115"/>
      <c r="H19" s="57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40"/>
      <c r="AE19" s="115"/>
      <c r="AF19" s="100"/>
      <c r="AG19" s="673"/>
      <c r="AH19" s="95"/>
      <c r="AI19" s="481">
        <v>7.38</v>
      </c>
      <c r="AJ19" s="481">
        <v>4.2</v>
      </c>
      <c r="AK19" s="484"/>
      <c r="AL19" s="545">
        <f t="shared" ref="AL19" si="0">AI19*AJ19</f>
        <v>30.996000000000002</v>
      </c>
      <c r="AM19" s="545">
        <v>1</v>
      </c>
      <c r="AN19" s="117" t="s">
        <v>72</v>
      </c>
      <c r="AO19" s="119">
        <f t="shared" ref="AO19" si="1">+AL19*AM19</f>
        <v>30.996000000000002</v>
      </c>
      <c r="AP19" s="143"/>
      <c r="AQ19" s="467"/>
    </row>
    <row r="20" spans="1:43" s="144" customFormat="1" ht="24" customHeight="1">
      <c r="A20" s="143"/>
      <c r="B20" s="99"/>
      <c r="C20" s="115"/>
      <c r="D20" s="115"/>
      <c r="E20" s="115"/>
      <c r="F20" s="115"/>
      <c r="G20" s="115"/>
      <c r="H20" s="57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40"/>
      <c r="AE20" s="115"/>
      <c r="AF20" s="100"/>
      <c r="AG20" s="673"/>
      <c r="AH20" s="480"/>
      <c r="AI20" s="142"/>
      <c r="AJ20" s="142"/>
      <c r="AK20" s="142"/>
      <c r="AL20" s="118"/>
      <c r="AM20" s="118"/>
      <c r="AN20" s="146"/>
      <c r="AO20" s="544"/>
      <c r="AP20" s="143"/>
      <c r="AQ20" s="467"/>
    </row>
    <row r="21" spans="1:43" s="144" customFormat="1" ht="24" customHeight="1">
      <c r="A21" s="143"/>
      <c r="B21" s="99"/>
      <c r="C21" s="115"/>
      <c r="D21" s="115"/>
      <c r="E21" s="115"/>
      <c r="F21" s="115"/>
      <c r="G21" s="115"/>
      <c r="H21" s="57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40"/>
      <c r="AE21" s="115"/>
      <c r="AF21" s="100"/>
      <c r="AG21" s="673"/>
      <c r="AH21" s="480"/>
      <c r="AI21" s="485"/>
      <c r="AJ21" s="485"/>
      <c r="AK21" s="485"/>
      <c r="AL21" s="485"/>
      <c r="AM21" s="485"/>
      <c r="AN21" s="485"/>
      <c r="AO21" s="544"/>
      <c r="AP21" s="143"/>
      <c r="AQ21" s="467"/>
    </row>
    <row r="22" spans="1:43" s="144" customFormat="1" ht="24" customHeight="1">
      <c r="A22" s="143"/>
      <c r="B22" s="99"/>
      <c r="C22" s="115"/>
      <c r="D22" s="115"/>
      <c r="E22" s="115"/>
      <c r="F22" s="115"/>
      <c r="G22" s="115"/>
      <c r="H22" s="57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40"/>
      <c r="AE22" s="115"/>
      <c r="AF22" s="100"/>
      <c r="AG22" s="673"/>
      <c r="AH22" s="480"/>
      <c r="AI22" s="142"/>
      <c r="AJ22" s="142"/>
      <c r="AK22" s="142"/>
      <c r="AL22" s="118"/>
      <c r="AM22" s="118"/>
      <c r="AN22" s="146"/>
      <c r="AO22" s="544"/>
      <c r="AP22" s="143"/>
      <c r="AQ22" s="467"/>
    </row>
    <row r="23" spans="1:43" s="144" customFormat="1" ht="24" customHeight="1">
      <c r="A23" s="143"/>
      <c r="B23" s="99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40"/>
      <c r="AE23" s="115"/>
      <c r="AF23" s="100"/>
      <c r="AG23" s="673"/>
      <c r="AH23" s="480"/>
      <c r="AI23" s="142"/>
      <c r="AJ23" s="142"/>
      <c r="AK23" s="118"/>
      <c r="AL23" s="118"/>
      <c r="AM23" s="118"/>
      <c r="AN23" s="146"/>
      <c r="AO23" s="544"/>
      <c r="AP23" s="143"/>
      <c r="AQ23" s="467"/>
    </row>
    <row r="24" spans="1:43" s="144" customFormat="1" ht="24" customHeight="1">
      <c r="A24" s="143"/>
      <c r="B24" s="576"/>
      <c r="AG24" s="673"/>
      <c r="AH24" s="480"/>
      <c r="AI24" s="485"/>
      <c r="AJ24" s="485"/>
      <c r="AK24" s="485"/>
      <c r="AL24" s="485"/>
      <c r="AM24" s="485"/>
      <c r="AN24" s="485"/>
      <c r="AO24" s="544"/>
      <c r="AP24" s="143"/>
      <c r="AQ24" s="467"/>
    </row>
    <row r="25" spans="1:43" s="144" customFormat="1" ht="24" customHeight="1">
      <c r="A25" s="143"/>
      <c r="B25" s="576"/>
      <c r="AG25" s="673"/>
      <c r="AH25" s="480"/>
      <c r="AI25" s="510"/>
      <c r="AJ25" s="510"/>
      <c r="AK25" s="118"/>
      <c r="AL25" s="118"/>
      <c r="AM25" s="118"/>
      <c r="AN25" s="146"/>
      <c r="AO25" s="544"/>
      <c r="AP25" s="143"/>
      <c r="AQ25" s="467"/>
    </row>
    <row r="26" spans="1:43" ht="24" customHeight="1">
      <c r="A26" s="76"/>
      <c r="B26" s="774" t="s">
        <v>73</v>
      </c>
      <c r="C26" s="810"/>
      <c r="D26" s="810"/>
      <c r="E26" s="810"/>
      <c r="F26" s="810"/>
      <c r="G26" s="810"/>
      <c r="H26" s="810"/>
      <c r="I26" s="810"/>
      <c r="J26" s="810"/>
      <c r="K26" s="810"/>
      <c r="L26" s="810"/>
      <c r="M26" s="810"/>
      <c r="N26" s="810"/>
      <c r="O26" s="810"/>
      <c r="P26" s="810"/>
      <c r="Q26" s="810"/>
      <c r="R26" s="810"/>
      <c r="S26" s="810"/>
      <c r="T26" s="810"/>
      <c r="U26" s="810"/>
      <c r="V26" s="810"/>
      <c r="W26" s="810"/>
      <c r="X26" s="810"/>
      <c r="Y26" s="810"/>
      <c r="Z26" s="810"/>
      <c r="AA26" s="810"/>
      <c r="AB26" s="810"/>
      <c r="AC26" s="810"/>
      <c r="AD26" s="810"/>
      <c r="AE26" s="810"/>
      <c r="AF26" s="811"/>
      <c r="AG26" s="673"/>
      <c r="AH26" s="95"/>
      <c r="AI26" s="149"/>
      <c r="AJ26" s="493"/>
      <c r="AK26" s="493"/>
      <c r="AL26" s="546"/>
      <c r="AM26" s="546"/>
      <c r="AN26" s="547"/>
      <c r="AO26" s="387"/>
      <c r="AP26" s="76"/>
      <c r="AQ26" s="77"/>
    </row>
    <row r="27" spans="1:43" ht="24" customHeight="1" thickBot="1">
      <c r="A27" s="76"/>
      <c r="B27" s="812"/>
      <c r="C27" s="813"/>
      <c r="D27" s="813"/>
      <c r="E27" s="813"/>
      <c r="F27" s="813"/>
      <c r="G27" s="813"/>
      <c r="H27" s="813"/>
      <c r="I27" s="813"/>
      <c r="J27" s="813"/>
      <c r="K27" s="813"/>
      <c r="L27" s="813"/>
      <c r="M27" s="813"/>
      <c r="N27" s="813"/>
      <c r="O27" s="813"/>
      <c r="P27" s="813"/>
      <c r="Q27" s="813"/>
      <c r="R27" s="813"/>
      <c r="S27" s="813"/>
      <c r="T27" s="813"/>
      <c r="U27" s="813"/>
      <c r="V27" s="813"/>
      <c r="W27" s="813"/>
      <c r="X27" s="813"/>
      <c r="Y27" s="813"/>
      <c r="Z27" s="813"/>
      <c r="AA27" s="813"/>
      <c r="AB27" s="813"/>
      <c r="AC27" s="813"/>
      <c r="AD27" s="813"/>
      <c r="AE27" s="813"/>
      <c r="AF27" s="814"/>
      <c r="AG27" s="674"/>
      <c r="AH27" s="108"/>
      <c r="AI27" s="109"/>
      <c r="AJ27" s="110"/>
      <c r="AK27" s="110"/>
      <c r="AL27" s="109"/>
      <c r="AM27" s="111">
        <f>+J16</f>
        <v>1.1000000000000001</v>
      </c>
      <c r="AN27" s="112" t="s">
        <v>66</v>
      </c>
      <c r="AO27" s="116">
        <f>SUM(AO18+AO19)</f>
        <v>146.35799999999998</v>
      </c>
      <c r="AP27" s="76"/>
      <c r="AQ27" s="77"/>
    </row>
    <row r="28" spans="1:43" ht="24" customHeight="1">
      <c r="A28" s="76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2"/>
      <c r="AI28" s="123"/>
      <c r="AJ28" s="124"/>
      <c r="AK28" s="124"/>
      <c r="AL28" s="123"/>
      <c r="AM28" s="125"/>
      <c r="AN28" s="398"/>
      <c r="AO28" s="399"/>
      <c r="AP28" s="77"/>
      <c r="AQ28" s="77"/>
    </row>
    <row r="29" spans="1:43" ht="24" customHeight="1" thickBot="1">
      <c r="A29" s="76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2"/>
      <c r="AI29" s="123"/>
      <c r="AJ29" s="124"/>
      <c r="AK29" s="124"/>
      <c r="AL29" s="123"/>
      <c r="AM29" s="125"/>
      <c r="AN29" s="398"/>
      <c r="AO29" s="399"/>
      <c r="AP29" s="77"/>
      <c r="AQ29" s="77"/>
    </row>
    <row r="30" spans="1:43" ht="24" customHeight="1">
      <c r="A30" s="76"/>
      <c r="B30" s="737" t="s">
        <v>50</v>
      </c>
      <c r="C30" s="738"/>
      <c r="D30" s="738"/>
      <c r="E30" s="738"/>
      <c r="F30" s="738"/>
      <c r="G30" s="738"/>
      <c r="H30" s="739"/>
      <c r="I30" s="743" t="str">
        <f>+PRESUPUESTO!$A$1</f>
        <v>" MEJORAMIENTO, ADECUACIÓN MENOR Y MANTENIMIENTO DE LA INFRAESTRUCTURA DE LAS INSTITUCIONES EDUCATIVAS URBANAS Y RURALES DEL MUNICIPIO DE SAN JOSÉ DE CÚCUTA"</v>
      </c>
      <c r="J30" s="807"/>
      <c r="K30" s="807"/>
      <c r="L30" s="807"/>
      <c r="M30" s="807"/>
      <c r="N30" s="807"/>
      <c r="O30" s="807"/>
      <c r="P30" s="807"/>
      <c r="Q30" s="807"/>
      <c r="R30" s="807"/>
      <c r="S30" s="807"/>
      <c r="T30" s="807"/>
      <c r="U30" s="807"/>
      <c r="V30" s="807"/>
      <c r="W30" s="807"/>
      <c r="X30" s="807"/>
      <c r="Y30" s="807"/>
      <c r="Z30" s="807"/>
      <c r="AA30" s="807"/>
      <c r="AB30" s="808"/>
      <c r="AC30" s="749" t="s">
        <v>51</v>
      </c>
      <c r="AD30" s="750"/>
      <c r="AE30" s="750"/>
      <c r="AF30" s="750"/>
      <c r="AG30" s="750"/>
      <c r="AH30" s="751"/>
      <c r="AI30" s="138" t="s">
        <v>52</v>
      </c>
      <c r="AJ30" s="138" t="s">
        <v>53</v>
      </c>
      <c r="AK30" s="755" t="s">
        <v>54</v>
      </c>
      <c r="AL30" s="756"/>
      <c r="AM30" s="757" t="s">
        <v>55</v>
      </c>
      <c r="AN30" s="758"/>
      <c r="AO30" s="759"/>
      <c r="AP30" s="76"/>
      <c r="AQ30" s="77"/>
    </row>
    <row r="31" spans="1:43" ht="24" customHeight="1">
      <c r="A31" s="76"/>
      <c r="B31" s="740"/>
      <c r="C31" s="741"/>
      <c r="D31" s="741"/>
      <c r="E31" s="741"/>
      <c r="F31" s="741"/>
      <c r="G31" s="741"/>
      <c r="H31" s="742"/>
      <c r="I31" s="707"/>
      <c r="J31" s="704"/>
      <c r="K31" s="704"/>
      <c r="L31" s="704"/>
      <c r="M31" s="704"/>
      <c r="N31" s="704"/>
      <c r="O31" s="704"/>
      <c r="P31" s="704"/>
      <c r="Q31" s="704"/>
      <c r="R31" s="704"/>
      <c r="S31" s="704"/>
      <c r="T31" s="704"/>
      <c r="U31" s="704"/>
      <c r="V31" s="704"/>
      <c r="W31" s="704"/>
      <c r="X31" s="704"/>
      <c r="Y31" s="704"/>
      <c r="Z31" s="704"/>
      <c r="AA31" s="704"/>
      <c r="AB31" s="705"/>
      <c r="AC31" s="752"/>
      <c r="AD31" s="753"/>
      <c r="AE31" s="753"/>
      <c r="AF31" s="753"/>
      <c r="AG31" s="753"/>
      <c r="AH31" s="754"/>
      <c r="AI31" s="83"/>
      <c r="AJ31" s="83"/>
      <c r="AK31" s="760"/>
      <c r="AL31" s="761"/>
      <c r="AM31" s="762" t="s">
        <v>56</v>
      </c>
      <c r="AN31" s="763"/>
      <c r="AO31" s="764"/>
      <c r="AP31" s="76"/>
      <c r="AQ31" s="77"/>
    </row>
    <row r="32" spans="1:43" ht="24" customHeight="1">
      <c r="A32" s="76"/>
      <c r="B32" s="665" t="s">
        <v>57</v>
      </c>
      <c r="C32" s="730"/>
      <c r="D32" s="730"/>
      <c r="E32" s="730"/>
      <c r="F32" s="730"/>
      <c r="G32" s="730"/>
      <c r="H32" s="730"/>
      <c r="I32" s="731"/>
      <c r="J32" s="726"/>
      <c r="K32" s="727"/>
      <c r="L32" s="727"/>
      <c r="M32" s="727"/>
      <c r="N32" s="727"/>
      <c r="O32" s="727"/>
      <c r="P32" s="727"/>
      <c r="Q32" s="727"/>
      <c r="R32" s="727"/>
      <c r="S32" s="727"/>
      <c r="T32" s="727"/>
      <c r="U32" s="727"/>
      <c r="V32" s="727"/>
      <c r="W32" s="727"/>
      <c r="X32" s="727"/>
      <c r="Y32" s="727"/>
      <c r="Z32" s="727"/>
      <c r="AA32" s="727"/>
      <c r="AB32" s="728"/>
      <c r="AC32" s="729" t="s">
        <v>58</v>
      </c>
      <c r="AD32" s="730"/>
      <c r="AE32" s="730"/>
      <c r="AF32" s="730"/>
      <c r="AG32" s="730"/>
      <c r="AH32" s="731"/>
      <c r="AI32" s="732"/>
      <c r="AJ32" s="733"/>
      <c r="AK32" s="733"/>
      <c r="AL32" s="734"/>
      <c r="AM32" s="735" t="s">
        <v>59</v>
      </c>
      <c r="AN32" s="736"/>
      <c r="AO32" s="543" t="str">
        <f>PRESUPUESTO!D14</f>
        <v>M2</v>
      </c>
      <c r="AP32" s="76"/>
      <c r="AQ32" s="77"/>
    </row>
    <row r="33" spans="1:43" ht="24" customHeight="1">
      <c r="A33" s="76"/>
      <c r="B33" s="668" t="s">
        <v>60</v>
      </c>
      <c r="C33" s="789"/>
      <c r="D33" s="789"/>
      <c r="E33" s="789"/>
      <c r="F33" s="789"/>
      <c r="G33" s="789"/>
      <c r="H33" s="789"/>
      <c r="I33" s="790"/>
      <c r="J33" s="669" t="str">
        <f>PRESUPUESTO!A13</f>
        <v xml:space="preserve"> 2.0 MAMPOSTERIA, PISOS Y GUARDAESCOBAS</v>
      </c>
      <c r="K33" s="670"/>
      <c r="L33" s="670"/>
      <c r="M33" s="670"/>
      <c r="N33" s="670"/>
      <c r="O33" s="670"/>
      <c r="P33" s="670"/>
      <c r="Q33" s="670"/>
      <c r="R33" s="670"/>
      <c r="S33" s="670"/>
      <c r="T33" s="670"/>
      <c r="U33" s="670"/>
      <c r="V33" s="670"/>
      <c r="W33" s="670"/>
      <c r="X33" s="670"/>
      <c r="Y33" s="670"/>
      <c r="Z33" s="670"/>
      <c r="AA33" s="670"/>
      <c r="AB33" s="670"/>
      <c r="AC33" s="670"/>
      <c r="AD33" s="670"/>
      <c r="AE33" s="670"/>
      <c r="AF33" s="671"/>
      <c r="AG33" s="672"/>
      <c r="AH33" s="675" t="s">
        <v>61</v>
      </c>
      <c r="AI33" s="677" t="s">
        <v>62</v>
      </c>
      <c r="AJ33" s="795"/>
      <c r="AK33" s="796"/>
      <c r="AL33" s="678" t="s">
        <v>63</v>
      </c>
      <c r="AM33" s="678" t="s">
        <v>64</v>
      </c>
      <c r="AN33" s="679" t="s">
        <v>65</v>
      </c>
      <c r="AO33" s="721" t="s">
        <v>66</v>
      </c>
      <c r="AP33" s="76"/>
      <c r="AQ33" s="77"/>
    </row>
    <row r="34" spans="1:43" ht="68.25" customHeight="1">
      <c r="A34" s="76"/>
      <c r="B34" s="766" t="s">
        <v>67</v>
      </c>
      <c r="C34" s="767"/>
      <c r="D34" s="767"/>
      <c r="E34" s="767"/>
      <c r="F34" s="767"/>
      <c r="G34" s="767"/>
      <c r="H34" s="767"/>
      <c r="I34" s="768"/>
      <c r="J34" s="769">
        <f>PRESUPUESTO!A14</f>
        <v>2.1</v>
      </c>
      <c r="K34" s="770"/>
      <c r="L34" s="771" t="str">
        <f>PRESUPUESTO!C14</f>
        <v xml:space="preserve">SUMINISTRO DE MATERIALES Y HECHURA DE PLANTILLA DE NIVELACION Y/O AFINADO DE PISO EN MORTERO 1:3 PARA PEGA DEL NUEVO ACABADO DE PISO, ESPESOR MÍNIMO DE 3 CMS. INCLUYE EL RETIRO DE IRREGULARIDADES QUE PUEDAN QUEDAR DESPUES DE DEMOLER EL ACTUAL ACABADO Y LA PLANTILLA DE PISO. </v>
      </c>
      <c r="M34" s="772"/>
      <c r="N34" s="772"/>
      <c r="O34" s="772"/>
      <c r="P34" s="772"/>
      <c r="Q34" s="772"/>
      <c r="R34" s="772"/>
      <c r="S34" s="772"/>
      <c r="T34" s="772"/>
      <c r="U34" s="772"/>
      <c r="V34" s="772"/>
      <c r="W34" s="772"/>
      <c r="X34" s="772"/>
      <c r="Y34" s="772"/>
      <c r="Z34" s="772"/>
      <c r="AA34" s="772"/>
      <c r="AB34" s="772"/>
      <c r="AC34" s="772"/>
      <c r="AD34" s="772"/>
      <c r="AE34" s="772"/>
      <c r="AF34" s="773"/>
      <c r="AG34" s="791"/>
      <c r="AH34" s="794"/>
      <c r="AI34" s="84" t="s">
        <v>68</v>
      </c>
      <c r="AJ34" s="84" t="s">
        <v>69</v>
      </c>
      <c r="AK34" s="84" t="s">
        <v>70</v>
      </c>
      <c r="AL34" s="797"/>
      <c r="AM34" s="797"/>
      <c r="AN34" s="798"/>
      <c r="AO34" s="765"/>
      <c r="AP34" s="76"/>
      <c r="AQ34" s="77"/>
    </row>
    <row r="35" spans="1:43" s="144" customFormat="1" ht="24" customHeight="1">
      <c r="A35" s="143"/>
      <c r="B35" s="85"/>
      <c r="C35" s="86"/>
      <c r="D35" s="86"/>
      <c r="E35" s="87"/>
      <c r="F35" s="88"/>
      <c r="G35" s="89"/>
      <c r="H35" s="89"/>
      <c r="I35" s="88"/>
      <c r="J35" s="90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89"/>
      <c r="X35" s="89"/>
      <c r="Y35" s="89"/>
      <c r="Z35" s="92"/>
      <c r="AA35" s="89"/>
      <c r="AB35" s="91"/>
      <c r="AC35" s="91"/>
      <c r="AD35" s="91"/>
      <c r="AE35" s="93"/>
      <c r="AF35" s="94"/>
      <c r="AG35" s="791"/>
      <c r="AH35" s="95"/>
      <c r="AI35" s="126"/>
      <c r="AJ35" s="126"/>
      <c r="AK35" s="96"/>
      <c r="AL35" s="96"/>
      <c r="AM35" s="96"/>
      <c r="AN35" s="97"/>
      <c r="AO35" s="98"/>
      <c r="AP35" s="143"/>
      <c r="AQ35" s="467"/>
    </row>
    <row r="36" spans="1:43" s="144" customFormat="1" ht="24" customHeight="1">
      <c r="A36" s="143"/>
      <c r="B36" s="99"/>
      <c r="C36" s="115"/>
      <c r="D36" s="115"/>
      <c r="E36" s="472"/>
      <c r="F36" s="473"/>
      <c r="G36" s="474"/>
      <c r="H36" s="474"/>
      <c r="I36" s="473"/>
      <c r="J36" s="475"/>
      <c r="K36" s="476"/>
      <c r="L36" s="476"/>
      <c r="M36" s="476"/>
      <c r="N36" s="476"/>
      <c r="O36" s="476"/>
      <c r="P36" s="476"/>
      <c r="Q36" s="476"/>
      <c r="R36" s="476"/>
      <c r="S36" s="476"/>
      <c r="T36" s="476"/>
      <c r="U36" s="476"/>
      <c r="V36" s="476"/>
      <c r="W36" s="474"/>
      <c r="X36" s="474"/>
      <c r="Y36" s="474"/>
      <c r="Z36" s="477"/>
      <c r="AA36" s="474"/>
      <c r="AB36" s="476"/>
      <c r="AC36" s="476"/>
      <c r="AD36" s="476"/>
      <c r="AE36" s="478"/>
      <c r="AF36" s="479"/>
      <c r="AG36" s="791"/>
      <c r="AH36" s="502"/>
      <c r="AI36" s="114">
        <f>(18+4.2+2.45)</f>
        <v>24.65</v>
      </c>
      <c r="AJ36" s="114">
        <f>(2.65+2.03)</f>
        <v>4.68</v>
      </c>
      <c r="AK36" s="114"/>
      <c r="AL36" s="118">
        <f>AI36*AJ36</f>
        <v>115.36199999999998</v>
      </c>
      <c r="AM36" s="118">
        <v>1</v>
      </c>
      <c r="AN36" s="117" t="s">
        <v>71</v>
      </c>
      <c r="AO36" s="119">
        <f>AL36*AM36</f>
        <v>115.36199999999998</v>
      </c>
      <c r="AP36" s="143"/>
      <c r="AQ36" s="467"/>
    </row>
    <row r="37" spans="1:43" s="144" customFormat="1" ht="24" customHeight="1">
      <c r="A37" s="143"/>
      <c r="B37" s="99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39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40"/>
      <c r="AE37" s="115"/>
      <c r="AF37" s="100"/>
      <c r="AG37" s="792"/>
      <c r="AH37" s="503"/>
      <c r="AI37" s="114">
        <v>7.38</v>
      </c>
      <c r="AJ37" s="114">
        <v>4.2</v>
      </c>
      <c r="AK37" s="101"/>
      <c r="AL37" s="118">
        <f t="shared" ref="AL37" si="2">AI37*AJ37</f>
        <v>30.996000000000002</v>
      </c>
      <c r="AM37" s="118">
        <v>1</v>
      </c>
      <c r="AN37" s="117" t="s">
        <v>72</v>
      </c>
      <c r="AO37" s="119">
        <f t="shared" ref="AO37" si="3">AL37*AM37</f>
        <v>30.996000000000002</v>
      </c>
      <c r="AP37" s="143"/>
      <c r="AQ37" s="467"/>
    </row>
    <row r="38" spans="1:43" s="144" customFormat="1" ht="24" customHeight="1">
      <c r="A38" s="143"/>
      <c r="B38" s="99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39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40"/>
      <c r="AE38" s="115"/>
      <c r="AF38" s="100"/>
      <c r="AG38" s="792"/>
      <c r="AH38" s="504"/>
      <c r="AI38" s="501"/>
      <c r="AJ38" s="114"/>
      <c r="AK38" s="101"/>
      <c r="AL38" s="118"/>
      <c r="AM38" s="118"/>
      <c r="AN38" s="117"/>
      <c r="AO38" s="119"/>
      <c r="AP38" s="143"/>
      <c r="AQ38" s="467"/>
    </row>
    <row r="39" spans="1:43" s="144" customFormat="1" ht="24" customHeight="1">
      <c r="A39" s="143"/>
      <c r="B39" s="99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39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40"/>
      <c r="AE39" s="115"/>
      <c r="AF39" s="100"/>
      <c r="AG39" s="792"/>
      <c r="AH39" s="504"/>
      <c r="AI39" s="501"/>
      <c r="AJ39" s="114"/>
      <c r="AK39" s="101"/>
      <c r="AL39" s="118"/>
      <c r="AM39" s="118"/>
      <c r="AN39" s="117"/>
      <c r="AO39" s="119"/>
      <c r="AP39" s="143"/>
      <c r="AQ39" s="467"/>
    </row>
    <row r="40" spans="1:43" s="144" customFormat="1" ht="24" customHeight="1">
      <c r="A40" s="143"/>
      <c r="B40" s="99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40"/>
      <c r="AE40" s="115"/>
      <c r="AF40" s="100"/>
      <c r="AG40" s="791"/>
      <c r="AH40" s="466"/>
      <c r="AI40" s="501"/>
      <c r="AJ40" s="114"/>
      <c r="AK40" s="101"/>
      <c r="AL40" s="118"/>
      <c r="AM40" s="118"/>
      <c r="AN40" s="117"/>
      <c r="AO40" s="119"/>
      <c r="AP40" s="143"/>
      <c r="AQ40" s="467"/>
    </row>
    <row r="41" spans="1:43" s="144" customFormat="1" ht="24" customHeight="1">
      <c r="A41" s="143"/>
      <c r="B41" s="99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40"/>
      <c r="AE41" s="115"/>
      <c r="AF41" s="100"/>
      <c r="AG41" s="791"/>
      <c r="AH41" s="505"/>
      <c r="AI41" s="501"/>
      <c r="AJ41" s="114"/>
      <c r="AK41" s="101"/>
      <c r="AL41" s="118"/>
      <c r="AM41" s="118"/>
      <c r="AN41" s="117"/>
      <c r="AO41" s="119"/>
      <c r="AP41" s="143"/>
      <c r="AQ41" s="467"/>
    </row>
    <row r="42" spans="1:43" s="144" customFormat="1" ht="24" customHeight="1">
      <c r="A42" s="143"/>
      <c r="B42" s="576"/>
      <c r="AG42" s="791"/>
      <c r="AH42" s="505"/>
      <c r="AI42" s="501"/>
      <c r="AJ42" s="114"/>
      <c r="AK42" s="101"/>
      <c r="AL42" s="118"/>
      <c r="AM42" s="118"/>
      <c r="AN42" s="117"/>
      <c r="AO42" s="119"/>
      <c r="AP42" s="143"/>
      <c r="AQ42" s="467"/>
    </row>
    <row r="43" spans="1:43" s="144" customFormat="1" ht="24" customHeight="1">
      <c r="A43" s="143"/>
      <c r="B43" s="576"/>
      <c r="AG43" s="791"/>
      <c r="AH43" s="505"/>
      <c r="AI43" s="501"/>
      <c r="AJ43" s="114"/>
      <c r="AK43" s="101"/>
      <c r="AL43" s="118"/>
      <c r="AM43" s="118"/>
      <c r="AN43" s="117"/>
      <c r="AO43" s="119"/>
      <c r="AP43" s="143"/>
      <c r="AQ43" s="467"/>
    </row>
    <row r="44" spans="1:43" s="144" customFormat="1" ht="24" customHeight="1">
      <c r="A44" s="143"/>
      <c r="B44" s="774" t="s">
        <v>73</v>
      </c>
      <c r="C44" s="775"/>
      <c r="D44" s="775"/>
      <c r="E44" s="775"/>
      <c r="F44" s="775"/>
      <c r="G44" s="775"/>
      <c r="H44" s="775"/>
      <c r="I44" s="775"/>
      <c r="J44" s="775"/>
      <c r="K44" s="775"/>
      <c r="L44" s="775"/>
      <c r="M44" s="775"/>
      <c r="N44" s="775"/>
      <c r="O44" s="775"/>
      <c r="P44" s="775"/>
      <c r="Q44" s="775"/>
      <c r="R44" s="775"/>
      <c r="S44" s="775"/>
      <c r="T44" s="775"/>
      <c r="U44" s="775"/>
      <c r="V44" s="775"/>
      <c r="W44" s="775"/>
      <c r="X44" s="775"/>
      <c r="Y44" s="775"/>
      <c r="Z44" s="775"/>
      <c r="AA44" s="775"/>
      <c r="AB44" s="775"/>
      <c r="AC44" s="775"/>
      <c r="AD44" s="775"/>
      <c r="AE44" s="775"/>
      <c r="AF44" s="776"/>
      <c r="AG44" s="791"/>
      <c r="AH44" s="505"/>
      <c r="AI44" s="506"/>
      <c r="AJ44" s="101"/>
      <c r="AK44" s="101"/>
      <c r="AL44" s="97"/>
      <c r="AM44" s="106"/>
      <c r="AN44" s="97"/>
      <c r="AO44" s="107"/>
      <c r="AP44" s="143"/>
      <c r="AQ44" s="467"/>
    </row>
    <row r="45" spans="1:43" ht="24" customHeight="1" thickBot="1">
      <c r="A45" s="76"/>
      <c r="B45" s="777"/>
      <c r="C45" s="778"/>
      <c r="D45" s="778"/>
      <c r="E45" s="778"/>
      <c r="F45" s="778"/>
      <c r="G45" s="778"/>
      <c r="H45" s="778"/>
      <c r="I45" s="778"/>
      <c r="J45" s="778"/>
      <c r="K45" s="778"/>
      <c r="L45" s="778"/>
      <c r="M45" s="778"/>
      <c r="N45" s="778"/>
      <c r="O45" s="778"/>
      <c r="P45" s="778"/>
      <c r="Q45" s="778"/>
      <c r="R45" s="778"/>
      <c r="S45" s="778"/>
      <c r="T45" s="778"/>
      <c r="U45" s="778"/>
      <c r="V45" s="778"/>
      <c r="W45" s="778"/>
      <c r="X45" s="778"/>
      <c r="Y45" s="778"/>
      <c r="Z45" s="778"/>
      <c r="AA45" s="778"/>
      <c r="AB45" s="778"/>
      <c r="AC45" s="778"/>
      <c r="AD45" s="778"/>
      <c r="AE45" s="778"/>
      <c r="AF45" s="779"/>
      <c r="AG45" s="793"/>
      <c r="AH45" s="507"/>
      <c r="AI45" s="508"/>
      <c r="AJ45" s="110"/>
      <c r="AK45" s="110"/>
      <c r="AL45" s="109"/>
      <c r="AM45" s="136">
        <f>+J34</f>
        <v>2.1</v>
      </c>
      <c r="AN45" s="137" t="s">
        <v>66</v>
      </c>
      <c r="AO45" s="116">
        <f>AO36+AO37</f>
        <v>146.35799999999998</v>
      </c>
      <c r="AP45" s="143"/>
      <c r="AQ45" s="467"/>
    </row>
    <row r="46" spans="1:43" ht="24" customHeight="1">
      <c r="A46" s="76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  <c r="AH46" s="122"/>
      <c r="AI46" s="123"/>
      <c r="AJ46" s="124"/>
      <c r="AK46" s="124"/>
      <c r="AL46" s="123"/>
      <c r="AM46" s="125"/>
      <c r="AN46" s="398"/>
      <c r="AO46" s="399"/>
      <c r="AP46" s="77"/>
      <c r="AQ46" s="77"/>
    </row>
    <row r="47" spans="1:43" ht="12" customHeight="1">
      <c r="A47" s="76"/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76"/>
      <c r="AQ47" s="77"/>
    </row>
    <row r="48" spans="1:43" ht="12" customHeight="1" thickBot="1">
      <c r="A48" s="76"/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76"/>
      <c r="AQ48" s="77"/>
    </row>
    <row r="49" spans="1:43" s="134" customFormat="1" ht="19.899999999999999" customHeight="1">
      <c r="A49" s="385"/>
      <c r="B49" s="737" t="s">
        <v>50</v>
      </c>
      <c r="C49" s="738"/>
      <c r="D49" s="738"/>
      <c r="E49" s="738"/>
      <c r="F49" s="738"/>
      <c r="G49" s="738"/>
      <c r="H49" s="739"/>
      <c r="I49" s="743" t="str">
        <f>+PRESUPUESTO!$A$1</f>
        <v>" MEJORAMIENTO, ADECUACIÓN MENOR Y MANTENIMIENTO DE LA INFRAESTRUCTURA DE LAS INSTITUCIONES EDUCATIVAS URBANAS Y RURALES DEL MUNICIPIO DE SAN JOSÉ DE CÚCUTA"</v>
      </c>
      <c r="J49" s="744"/>
      <c r="K49" s="744"/>
      <c r="L49" s="744"/>
      <c r="M49" s="744"/>
      <c r="N49" s="744"/>
      <c r="O49" s="744"/>
      <c r="P49" s="744"/>
      <c r="Q49" s="744"/>
      <c r="R49" s="744"/>
      <c r="S49" s="744"/>
      <c r="T49" s="744"/>
      <c r="U49" s="744"/>
      <c r="V49" s="744"/>
      <c r="W49" s="744"/>
      <c r="X49" s="744"/>
      <c r="Y49" s="744"/>
      <c r="Z49" s="744"/>
      <c r="AA49" s="744"/>
      <c r="AB49" s="745"/>
      <c r="AC49" s="749" t="s">
        <v>51</v>
      </c>
      <c r="AD49" s="750"/>
      <c r="AE49" s="750"/>
      <c r="AF49" s="750"/>
      <c r="AG49" s="750"/>
      <c r="AH49" s="751"/>
      <c r="AI49" s="138" t="s">
        <v>52</v>
      </c>
      <c r="AJ49" s="138" t="s">
        <v>53</v>
      </c>
      <c r="AK49" s="755" t="s">
        <v>54</v>
      </c>
      <c r="AL49" s="756"/>
      <c r="AM49" s="757" t="s">
        <v>55</v>
      </c>
      <c r="AN49" s="758"/>
      <c r="AO49" s="759"/>
      <c r="AP49" s="385"/>
      <c r="AQ49" s="133"/>
    </row>
    <row r="50" spans="1:43" s="134" customFormat="1" ht="19.899999999999999" customHeight="1">
      <c r="A50" s="385"/>
      <c r="B50" s="740"/>
      <c r="C50" s="741"/>
      <c r="D50" s="741"/>
      <c r="E50" s="741"/>
      <c r="F50" s="741"/>
      <c r="G50" s="741"/>
      <c r="H50" s="742"/>
      <c r="I50" s="746"/>
      <c r="J50" s="747"/>
      <c r="K50" s="747"/>
      <c r="L50" s="747"/>
      <c r="M50" s="747"/>
      <c r="N50" s="747"/>
      <c r="O50" s="747"/>
      <c r="P50" s="747"/>
      <c r="Q50" s="747"/>
      <c r="R50" s="747"/>
      <c r="S50" s="747"/>
      <c r="T50" s="747"/>
      <c r="U50" s="747"/>
      <c r="V50" s="747"/>
      <c r="W50" s="747"/>
      <c r="X50" s="747"/>
      <c r="Y50" s="747"/>
      <c r="Z50" s="747"/>
      <c r="AA50" s="747"/>
      <c r="AB50" s="748"/>
      <c r="AC50" s="752"/>
      <c r="AD50" s="753"/>
      <c r="AE50" s="753"/>
      <c r="AF50" s="753"/>
      <c r="AG50" s="753"/>
      <c r="AH50" s="754"/>
      <c r="AI50" s="83"/>
      <c r="AJ50" s="83"/>
      <c r="AK50" s="760"/>
      <c r="AL50" s="761"/>
      <c r="AM50" s="762" t="s">
        <v>56</v>
      </c>
      <c r="AN50" s="763"/>
      <c r="AO50" s="764"/>
      <c r="AP50" s="385"/>
      <c r="AQ50" s="133"/>
    </row>
    <row r="51" spans="1:43" s="134" customFormat="1" ht="19.899999999999999" customHeight="1">
      <c r="A51" s="385"/>
      <c r="B51" s="665" t="s">
        <v>57</v>
      </c>
      <c r="C51" s="730"/>
      <c r="D51" s="730"/>
      <c r="E51" s="730"/>
      <c r="F51" s="730"/>
      <c r="G51" s="730"/>
      <c r="H51" s="730"/>
      <c r="I51" s="731"/>
      <c r="J51" s="726"/>
      <c r="K51" s="727"/>
      <c r="L51" s="727"/>
      <c r="M51" s="727"/>
      <c r="N51" s="727"/>
      <c r="O51" s="727"/>
      <c r="P51" s="727"/>
      <c r="Q51" s="727"/>
      <c r="R51" s="727"/>
      <c r="S51" s="727"/>
      <c r="T51" s="727"/>
      <c r="U51" s="727"/>
      <c r="V51" s="727"/>
      <c r="W51" s="727"/>
      <c r="X51" s="727"/>
      <c r="Y51" s="727"/>
      <c r="Z51" s="727"/>
      <c r="AA51" s="727"/>
      <c r="AB51" s="728"/>
      <c r="AC51" s="729" t="s">
        <v>58</v>
      </c>
      <c r="AD51" s="730"/>
      <c r="AE51" s="730"/>
      <c r="AF51" s="730"/>
      <c r="AG51" s="730"/>
      <c r="AH51" s="731"/>
      <c r="AI51" s="732"/>
      <c r="AJ51" s="733"/>
      <c r="AK51" s="733"/>
      <c r="AL51" s="734"/>
      <c r="AM51" s="735" t="s">
        <v>59</v>
      </c>
      <c r="AN51" s="736"/>
      <c r="AO51" s="543" t="str">
        <f>PRESUPUESTO!D15</f>
        <v>M2</v>
      </c>
      <c r="AP51" s="385"/>
      <c r="AQ51" s="133"/>
    </row>
    <row r="52" spans="1:43" s="134" customFormat="1" ht="19.899999999999999" customHeight="1">
      <c r="A52" s="385"/>
      <c r="B52" s="668" t="s">
        <v>60</v>
      </c>
      <c r="C52" s="789"/>
      <c r="D52" s="789"/>
      <c r="E52" s="789"/>
      <c r="F52" s="789"/>
      <c r="G52" s="789"/>
      <c r="H52" s="789"/>
      <c r="I52" s="790"/>
      <c r="J52" s="669">
        <f>+PRESUPUESTO!$A$15</f>
        <v>2.2000000000000002</v>
      </c>
      <c r="K52" s="670"/>
      <c r="L52" s="670"/>
      <c r="M52" s="670"/>
      <c r="N52" s="670"/>
      <c r="O52" s="670"/>
      <c r="P52" s="670"/>
      <c r="Q52" s="670"/>
      <c r="R52" s="670"/>
      <c r="S52" s="670"/>
      <c r="T52" s="670"/>
      <c r="U52" s="670"/>
      <c r="V52" s="670"/>
      <c r="W52" s="670"/>
      <c r="X52" s="670"/>
      <c r="Y52" s="670"/>
      <c r="Z52" s="670"/>
      <c r="AA52" s="670"/>
      <c r="AB52" s="670"/>
      <c r="AC52" s="670"/>
      <c r="AD52" s="670"/>
      <c r="AE52" s="670"/>
      <c r="AF52" s="671"/>
      <c r="AG52" s="672"/>
      <c r="AH52" s="675" t="s">
        <v>61</v>
      </c>
      <c r="AI52" s="677" t="s">
        <v>62</v>
      </c>
      <c r="AJ52" s="795"/>
      <c r="AK52" s="796"/>
      <c r="AL52" s="678" t="s">
        <v>63</v>
      </c>
      <c r="AM52" s="678" t="s">
        <v>64</v>
      </c>
      <c r="AN52" s="679" t="s">
        <v>65</v>
      </c>
      <c r="AO52" s="721" t="s">
        <v>66</v>
      </c>
      <c r="AP52" s="385"/>
      <c r="AQ52" s="133"/>
    </row>
    <row r="53" spans="1:43" s="134" customFormat="1" ht="48" customHeight="1">
      <c r="A53" s="385"/>
      <c r="B53" s="766" t="s">
        <v>67</v>
      </c>
      <c r="C53" s="767"/>
      <c r="D53" s="767"/>
      <c r="E53" s="767"/>
      <c r="F53" s="767"/>
      <c r="G53" s="767"/>
      <c r="H53" s="767"/>
      <c r="I53" s="768"/>
      <c r="J53" s="769">
        <f>+PRESUPUESTO!A15</f>
        <v>2.2000000000000002</v>
      </c>
      <c r="K53" s="770"/>
      <c r="L53" s="771" t="str">
        <f>+PRESUPUESTO!C15</f>
        <v xml:space="preserve">SUMINISTRO E INSTALACION de pisos en tablon de gress de 30 x 30 o 33 x 33 incluye mortero de pega. </v>
      </c>
      <c r="M53" s="772"/>
      <c r="N53" s="772"/>
      <c r="O53" s="772"/>
      <c r="P53" s="772"/>
      <c r="Q53" s="772"/>
      <c r="R53" s="772"/>
      <c r="S53" s="772"/>
      <c r="T53" s="772"/>
      <c r="U53" s="772"/>
      <c r="V53" s="772"/>
      <c r="W53" s="772"/>
      <c r="X53" s="772"/>
      <c r="Y53" s="772"/>
      <c r="Z53" s="772"/>
      <c r="AA53" s="772"/>
      <c r="AB53" s="772"/>
      <c r="AC53" s="772"/>
      <c r="AD53" s="772"/>
      <c r="AE53" s="772"/>
      <c r="AF53" s="773"/>
      <c r="AG53" s="791"/>
      <c r="AH53" s="794"/>
      <c r="AI53" s="84" t="s">
        <v>68</v>
      </c>
      <c r="AJ53" s="84" t="s">
        <v>69</v>
      </c>
      <c r="AK53" s="84" t="s">
        <v>70</v>
      </c>
      <c r="AL53" s="797"/>
      <c r="AM53" s="797"/>
      <c r="AN53" s="798"/>
      <c r="AO53" s="765"/>
      <c r="AP53" s="385"/>
      <c r="AQ53" s="133"/>
    </row>
    <row r="54" spans="1:43" s="144" customFormat="1" ht="19.899999999999999" customHeight="1">
      <c r="A54" s="143"/>
      <c r="B54" s="85"/>
      <c r="C54" s="86"/>
      <c r="D54" s="86"/>
      <c r="E54" s="87"/>
      <c r="F54" s="88"/>
      <c r="G54" s="89"/>
      <c r="H54" s="89"/>
      <c r="I54" s="88"/>
      <c r="J54" s="90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89"/>
      <c r="X54" s="89"/>
      <c r="Y54" s="89"/>
      <c r="Z54" s="92"/>
      <c r="AA54" s="89"/>
      <c r="AB54" s="91"/>
      <c r="AC54" s="91"/>
      <c r="AD54" s="91"/>
      <c r="AE54" s="93"/>
      <c r="AF54" s="94"/>
      <c r="AG54" s="791"/>
      <c r="AH54" s="95"/>
      <c r="AI54" s="96"/>
      <c r="AJ54" s="96"/>
      <c r="AK54" s="96"/>
      <c r="AL54" s="96"/>
      <c r="AM54" s="96"/>
      <c r="AN54" s="97"/>
      <c r="AO54" s="209"/>
      <c r="AP54" s="143"/>
      <c r="AQ54" s="467"/>
    </row>
    <row r="55" spans="1:43" s="144" customFormat="1" ht="19.899999999999999" customHeight="1">
      <c r="A55" s="143"/>
      <c r="B55" s="99"/>
      <c r="C55" s="115"/>
      <c r="D55" s="115"/>
      <c r="E55" s="472"/>
      <c r="F55" s="473"/>
      <c r="G55" s="474"/>
      <c r="H55" s="474"/>
      <c r="I55" s="473"/>
      <c r="J55" s="475"/>
      <c r="K55" s="476"/>
      <c r="L55" s="476"/>
      <c r="M55" s="476"/>
      <c r="N55" s="476"/>
      <c r="O55" s="476"/>
      <c r="P55" s="476"/>
      <c r="Q55" s="476"/>
      <c r="R55" s="476"/>
      <c r="S55" s="476"/>
      <c r="T55" s="476"/>
      <c r="U55" s="476"/>
      <c r="V55" s="476"/>
      <c r="W55" s="474"/>
      <c r="X55" s="474"/>
      <c r="Y55" s="474"/>
      <c r="Z55" s="477"/>
      <c r="AA55" s="474"/>
      <c r="AB55" s="476"/>
      <c r="AC55" s="476"/>
      <c r="AD55" s="476"/>
      <c r="AE55" s="478"/>
      <c r="AF55" s="479"/>
      <c r="AG55" s="791"/>
      <c r="AH55" s="509"/>
      <c r="AI55" s="114">
        <f>(18+4.2+2.45)</f>
        <v>24.65</v>
      </c>
      <c r="AJ55" s="114">
        <f>(2.65+2.03)</f>
        <v>4.68</v>
      </c>
      <c r="AK55" s="142"/>
      <c r="AL55" s="384">
        <f>AI55*AJ55</f>
        <v>115.36199999999998</v>
      </c>
      <c r="AM55" s="384">
        <v>1</v>
      </c>
      <c r="AN55" s="117" t="s">
        <v>71</v>
      </c>
      <c r="AO55" s="119">
        <f>AL55*AM55</f>
        <v>115.36199999999998</v>
      </c>
      <c r="AP55" s="143"/>
      <c r="AQ55" s="467"/>
    </row>
    <row r="56" spans="1:43" s="144" customFormat="1" ht="19.899999999999999" customHeight="1">
      <c r="A56" s="143"/>
      <c r="B56" s="99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39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40"/>
      <c r="AE56" s="115"/>
      <c r="AF56" s="100"/>
      <c r="AG56" s="792"/>
      <c r="AH56" s="504"/>
      <c r="AI56" s="501">
        <v>7.38</v>
      </c>
      <c r="AJ56" s="114">
        <v>4.2</v>
      </c>
      <c r="AK56" s="101"/>
      <c r="AL56" s="384">
        <f>AI56*AJ56</f>
        <v>30.996000000000002</v>
      </c>
      <c r="AM56" s="384">
        <v>1</v>
      </c>
      <c r="AN56" s="117" t="s">
        <v>72</v>
      </c>
      <c r="AO56" s="119">
        <f>AL56*AM56</f>
        <v>30.996000000000002</v>
      </c>
      <c r="AP56" s="143"/>
      <c r="AQ56" s="467"/>
    </row>
    <row r="57" spans="1:43" s="144" customFormat="1" ht="19.899999999999999" customHeight="1">
      <c r="A57" s="143"/>
      <c r="B57" s="99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39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40"/>
      <c r="AE57" s="115"/>
      <c r="AF57" s="100"/>
      <c r="AG57" s="792"/>
      <c r="AH57" s="504"/>
      <c r="AI57" s="501"/>
      <c r="AJ57" s="114"/>
      <c r="AK57" s="484"/>
      <c r="AL57" s="384"/>
      <c r="AM57" s="384"/>
      <c r="AN57" s="117"/>
      <c r="AO57" s="119"/>
      <c r="AP57" s="143"/>
      <c r="AQ57" s="467"/>
    </row>
    <row r="58" spans="1:43" s="144" customFormat="1" ht="19.899999999999999" customHeight="1">
      <c r="A58" s="143"/>
      <c r="B58" s="99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39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40"/>
      <c r="AE58" s="115"/>
      <c r="AF58" s="100"/>
      <c r="AG58" s="792"/>
      <c r="AH58" s="504"/>
      <c r="AI58" s="501"/>
      <c r="AJ58" s="114"/>
      <c r="AK58" s="484"/>
      <c r="AL58" s="384"/>
      <c r="AM58" s="384"/>
      <c r="AN58" s="117"/>
      <c r="AO58" s="119"/>
      <c r="AP58" s="143"/>
      <c r="AQ58" s="467"/>
    </row>
    <row r="59" spans="1:43" s="144" customFormat="1" ht="19.899999999999999" customHeight="1">
      <c r="A59" s="143"/>
      <c r="B59" s="99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40"/>
      <c r="AE59" s="115"/>
      <c r="AF59" s="100"/>
      <c r="AG59" s="791"/>
      <c r="AH59" s="505"/>
      <c r="AI59" s="501"/>
      <c r="AJ59" s="114"/>
      <c r="AK59" s="484"/>
      <c r="AL59" s="384"/>
      <c r="AM59" s="384"/>
      <c r="AN59" s="117"/>
      <c r="AO59" s="119"/>
      <c r="AP59" s="143"/>
      <c r="AQ59" s="467"/>
    </row>
    <row r="60" spans="1:43" s="144" customFormat="1" ht="19.899999999999999" customHeight="1">
      <c r="A60" s="143"/>
      <c r="B60" s="99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40"/>
      <c r="AE60" s="115"/>
      <c r="AF60" s="100"/>
      <c r="AG60" s="791"/>
      <c r="AH60" s="505"/>
      <c r="AI60" s="501"/>
      <c r="AJ60" s="114"/>
      <c r="AK60" s="484"/>
      <c r="AL60" s="384"/>
      <c r="AM60" s="384"/>
      <c r="AN60" s="117"/>
      <c r="AO60" s="119"/>
      <c r="AP60" s="143"/>
      <c r="AQ60" s="467"/>
    </row>
    <row r="61" spans="1:43" s="144" customFormat="1" ht="19.899999999999999" customHeight="1">
      <c r="A61" s="143"/>
      <c r="B61" s="576"/>
      <c r="AG61" s="791"/>
      <c r="AH61" s="505"/>
      <c r="AI61" s="501"/>
      <c r="AJ61" s="114"/>
      <c r="AK61" s="484"/>
      <c r="AL61" s="384"/>
      <c r="AM61" s="384"/>
      <c r="AN61" s="117"/>
      <c r="AO61" s="119"/>
      <c r="AP61" s="143"/>
      <c r="AQ61" s="467"/>
    </row>
    <row r="62" spans="1:43" s="144" customFormat="1" ht="19.899999999999999" customHeight="1">
      <c r="A62" s="143"/>
      <c r="B62" s="576"/>
      <c r="AG62" s="791"/>
      <c r="AH62" s="505"/>
      <c r="AI62" s="501"/>
      <c r="AJ62" s="114"/>
      <c r="AK62" s="484"/>
      <c r="AL62" s="384"/>
      <c r="AM62" s="384"/>
      <c r="AN62" s="117"/>
      <c r="AO62" s="119"/>
      <c r="AP62" s="143"/>
      <c r="AQ62" s="467"/>
    </row>
    <row r="63" spans="1:43" s="144" customFormat="1" ht="19.899999999999999" customHeight="1">
      <c r="A63" s="143"/>
      <c r="B63" s="774" t="s">
        <v>73</v>
      </c>
      <c r="C63" s="775"/>
      <c r="D63" s="775"/>
      <c r="E63" s="775"/>
      <c r="F63" s="775"/>
      <c r="G63" s="775"/>
      <c r="H63" s="775"/>
      <c r="I63" s="775"/>
      <c r="J63" s="775"/>
      <c r="K63" s="775"/>
      <c r="L63" s="775"/>
      <c r="M63" s="775"/>
      <c r="N63" s="775"/>
      <c r="O63" s="775"/>
      <c r="P63" s="775"/>
      <c r="Q63" s="775"/>
      <c r="R63" s="775"/>
      <c r="S63" s="775"/>
      <c r="T63" s="775"/>
      <c r="U63" s="775"/>
      <c r="V63" s="775"/>
      <c r="W63" s="775"/>
      <c r="X63" s="775"/>
      <c r="Y63" s="775"/>
      <c r="Z63" s="775"/>
      <c r="AA63" s="775"/>
      <c r="AB63" s="775"/>
      <c r="AC63" s="775"/>
      <c r="AD63" s="775"/>
      <c r="AE63" s="775"/>
      <c r="AF63" s="776"/>
      <c r="AG63" s="791"/>
      <c r="AH63" s="511"/>
      <c r="AI63" s="506"/>
      <c r="AJ63" s="101"/>
      <c r="AK63" s="118"/>
      <c r="AL63" s="485"/>
      <c r="AM63" s="485"/>
      <c r="AN63" s="486"/>
      <c r="AO63" s="209"/>
      <c r="AP63" s="143"/>
      <c r="AQ63" s="467"/>
    </row>
    <row r="64" spans="1:43" s="144" customFormat="1" ht="19.899999999999999" customHeight="1" thickBot="1">
      <c r="A64" s="143"/>
      <c r="B64" s="777"/>
      <c r="C64" s="778"/>
      <c r="D64" s="778"/>
      <c r="E64" s="778"/>
      <c r="F64" s="778"/>
      <c r="G64" s="778"/>
      <c r="H64" s="778"/>
      <c r="I64" s="778"/>
      <c r="J64" s="778"/>
      <c r="K64" s="778"/>
      <c r="L64" s="778"/>
      <c r="M64" s="778"/>
      <c r="N64" s="778"/>
      <c r="O64" s="778"/>
      <c r="P64" s="778"/>
      <c r="Q64" s="778"/>
      <c r="R64" s="778"/>
      <c r="S64" s="778"/>
      <c r="T64" s="778"/>
      <c r="U64" s="778"/>
      <c r="V64" s="778"/>
      <c r="W64" s="778"/>
      <c r="X64" s="778"/>
      <c r="Y64" s="778"/>
      <c r="Z64" s="778"/>
      <c r="AA64" s="778"/>
      <c r="AB64" s="778"/>
      <c r="AC64" s="778"/>
      <c r="AD64" s="778"/>
      <c r="AE64" s="778"/>
      <c r="AF64" s="779"/>
      <c r="AG64" s="793"/>
      <c r="AH64" s="507"/>
      <c r="AI64" s="512"/>
      <c r="AJ64" s="488"/>
      <c r="AK64" s="488"/>
      <c r="AL64" s="487"/>
      <c r="AM64" s="482">
        <f>+J53</f>
        <v>2.2000000000000002</v>
      </c>
      <c r="AN64" s="137" t="s">
        <v>66</v>
      </c>
      <c r="AO64" s="116">
        <f>AO55+AO56</f>
        <v>146.35799999999998</v>
      </c>
      <c r="AP64" s="143"/>
      <c r="AQ64" s="467"/>
    </row>
    <row r="65" spans="1:43" s="144" customFormat="1" ht="19.899999999999999" customHeight="1">
      <c r="A65" s="143"/>
      <c r="B65" s="495"/>
      <c r="C65" s="495"/>
      <c r="D65" s="495"/>
      <c r="E65" s="495"/>
      <c r="F65" s="495"/>
      <c r="G65" s="495"/>
      <c r="H65" s="495"/>
      <c r="I65" s="495"/>
      <c r="J65" s="495"/>
      <c r="K65" s="495"/>
      <c r="L65" s="495"/>
      <c r="M65" s="495"/>
      <c r="N65" s="495"/>
      <c r="O65" s="495"/>
      <c r="P65" s="495"/>
      <c r="Q65" s="495"/>
      <c r="R65" s="495"/>
      <c r="S65" s="495"/>
      <c r="T65" s="496"/>
      <c r="U65" s="496"/>
      <c r="V65" s="496"/>
      <c r="W65" s="496"/>
      <c r="X65" s="496"/>
      <c r="Y65" s="496"/>
      <c r="Z65" s="496"/>
      <c r="AA65" s="496"/>
      <c r="AB65" s="496"/>
      <c r="AC65" s="496"/>
      <c r="AD65" s="496"/>
      <c r="AE65" s="496"/>
      <c r="AF65" s="496"/>
      <c r="AG65" s="497"/>
      <c r="AH65" s="122"/>
      <c r="AI65" s="123"/>
      <c r="AJ65" s="124"/>
      <c r="AK65" s="124"/>
      <c r="AL65" s="123"/>
      <c r="AM65" s="498"/>
      <c r="AN65" s="499"/>
      <c r="AO65" s="500"/>
      <c r="AP65" s="143"/>
      <c r="AQ65" s="467"/>
    </row>
    <row r="66" spans="1:43" s="144" customFormat="1" ht="19.899999999999999" customHeight="1">
      <c r="A66" s="143"/>
      <c r="B66" s="495"/>
      <c r="C66" s="495"/>
      <c r="D66" s="495"/>
      <c r="E66" s="495"/>
      <c r="F66" s="495"/>
      <c r="G66" s="495"/>
      <c r="H66" s="495"/>
      <c r="I66" s="495"/>
      <c r="J66" s="495"/>
      <c r="K66" s="495"/>
      <c r="L66" s="495"/>
      <c r="M66" s="495"/>
      <c r="N66" s="495"/>
      <c r="O66" s="495"/>
      <c r="P66" s="495"/>
      <c r="Q66" s="495"/>
      <c r="R66" s="495"/>
      <c r="S66" s="495"/>
      <c r="T66" s="496"/>
      <c r="U66" s="496"/>
      <c r="V66" s="496"/>
      <c r="W66" s="496"/>
      <c r="X66" s="496"/>
      <c r="Y66" s="496"/>
      <c r="Z66" s="496"/>
      <c r="AA66" s="496"/>
      <c r="AB66" s="496"/>
      <c r="AC66" s="496"/>
      <c r="AD66" s="496"/>
      <c r="AE66" s="496"/>
      <c r="AF66" s="496"/>
      <c r="AG66" s="497"/>
      <c r="AH66" s="122"/>
      <c r="AI66" s="123"/>
      <c r="AJ66" s="124"/>
      <c r="AK66" s="124"/>
      <c r="AL66" s="123"/>
      <c r="AM66" s="498"/>
      <c r="AN66" s="499"/>
      <c r="AO66" s="500"/>
      <c r="AP66" s="143"/>
      <c r="AQ66" s="467"/>
    </row>
    <row r="67" spans="1:43" s="134" customFormat="1" ht="15" customHeight="1" thickBot="1">
      <c r="A67" s="386"/>
      <c r="AN67" s="144"/>
      <c r="AO67" s="144"/>
      <c r="AP67" s="386"/>
    </row>
    <row r="68" spans="1:43" s="144" customFormat="1" ht="19.899999999999999" customHeight="1">
      <c r="A68" s="467"/>
      <c r="B68" s="737" t="s">
        <v>50</v>
      </c>
      <c r="C68" s="738"/>
      <c r="D68" s="738"/>
      <c r="E68" s="738"/>
      <c r="F68" s="738"/>
      <c r="G68" s="738"/>
      <c r="H68" s="739"/>
      <c r="I68" s="743" t="str">
        <f>+PRESUPUESTO!$A$1</f>
        <v>" MEJORAMIENTO, ADECUACIÓN MENOR Y MANTENIMIENTO DE LA INFRAESTRUCTURA DE LAS INSTITUCIONES EDUCATIVAS URBANAS Y RURALES DEL MUNICIPIO DE SAN JOSÉ DE CÚCUTA"</v>
      </c>
      <c r="J68" s="744"/>
      <c r="K68" s="744"/>
      <c r="L68" s="744"/>
      <c r="M68" s="744"/>
      <c r="N68" s="744"/>
      <c r="O68" s="744"/>
      <c r="P68" s="744"/>
      <c r="Q68" s="744"/>
      <c r="R68" s="744"/>
      <c r="S68" s="744"/>
      <c r="T68" s="744"/>
      <c r="U68" s="744"/>
      <c r="V68" s="744"/>
      <c r="W68" s="744"/>
      <c r="X68" s="744"/>
      <c r="Y68" s="744"/>
      <c r="Z68" s="744"/>
      <c r="AA68" s="744"/>
      <c r="AB68" s="745"/>
      <c r="AC68" s="815" t="s">
        <v>51</v>
      </c>
      <c r="AD68" s="816"/>
      <c r="AE68" s="816"/>
      <c r="AF68" s="816"/>
      <c r="AG68" s="816"/>
      <c r="AH68" s="817"/>
      <c r="AI68" s="138" t="s">
        <v>52</v>
      </c>
      <c r="AJ68" s="138" t="s">
        <v>53</v>
      </c>
      <c r="AK68" s="755" t="s">
        <v>54</v>
      </c>
      <c r="AL68" s="756"/>
      <c r="AM68" s="757" t="s">
        <v>55</v>
      </c>
      <c r="AN68" s="758"/>
      <c r="AO68" s="759"/>
      <c r="AP68" s="467"/>
      <c r="AQ68" s="467"/>
    </row>
    <row r="69" spans="1:43" s="144" customFormat="1" ht="31.5" customHeight="1">
      <c r="A69" s="467"/>
      <c r="B69" s="740"/>
      <c r="C69" s="741"/>
      <c r="D69" s="741"/>
      <c r="E69" s="741"/>
      <c r="F69" s="741"/>
      <c r="G69" s="741"/>
      <c r="H69" s="742"/>
      <c r="I69" s="746"/>
      <c r="J69" s="747"/>
      <c r="K69" s="747"/>
      <c r="L69" s="747"/>
      <c r="M69" s="747"/>
      <c r="N69" s="747"/>
      <c r="O69" s="747"/>
      <c r="P69" s="747"/>
      <c r="Q69" s="747"/>
      <c r="R69" s="747"/>
      <c r="S69" s="747"/>
      <c r="T69" s="747"/>
      <c r="U69" s="747"/>
      <c r="V69" s="747"/>
      <c r="W69" s="747"/>
      <c r="X69" s="747"/>
      <c r="Y69" s="747"/>
      <c r="Z69" s="747"/>
      <c r="AA69" s="747"/>
      <c r="AB69" s="748"/>
      <c r="AC69" s="818"/>
      <c r="AD69" s="819"/>
      <c r="AE69" s="819"/>
      <c r="AF69" s="819"/>
      <c r="AG69" s="819"/>
      <c r="AH69" s="820"/>
      <c r="AI69" s="83"/>
      <c r="AJ69" s="83"/>
      <c r="AK69" s="760"/>
      <c r="AL69" s="761"/>
      <c r="AM69" s="780" t="s">
        <v>56</v>
      </c>
      <c r="AN69" s="781"/>
      <c r="AO69" s="782"/>
      <c r="AP69" s="467"/>
      <c r="AQ69" s="467"/>
    </row>
    <row r="70" spans="1:43" s="144" customFormat="1" ht="19.899999999999999" customHeight="1">
      <c r="A70" s="467"/>
      <c r="B70" s="788" t="s">
        <v>57</v>
      </c>
      <c r="C70" s="784"/>
      <c r="D70" s="784"/>
      <c r="E70" s="784"/>
      <c r="F70" s="784"/>
      <c r="G70" s="784"/>
      <c r="H70" s="784"/>
      <c r="I70" s="785"/>
      <c r="J70" s="726"/>
      <c r="K70" s="727"/>
      <c r="L70" s="727"/>
      <c r="M70" s="727"/>
      <c r="N70" s="727"/>
      <c r="O70" s="727"/>
      <c r="P70" s="727"/>
      <c r="Q70" s="727"/>
      <c r="R70" s="727"/>
      <c r="S70" s="727"/>
      <c r="T70" s="727"/>
      <c r="U70" s="727"/>
      <c r="V70" s="727"/>
      <c r="W70" s="727"/>
      <c r="X70" s="727"/>
      <c r="Y70" s="727"/>
      <c r="Z70" s="727"/>
      <c r="AA70" s="727"/>
      <c r="AB70" s="728"/>
      <c r="AC70" s="783" t="s">
        <v>58</v>
      </c>
      <c r="AD70" s="784"/>
      <c r="AE70" s="784"/>
      <c r="AF70" s="784"/>
      <c r="AG70" s="784"/>
      <c r="AH70" s="785"/>
      <c r="AI70" s="732"/>
      <c r="AJ70" s="733"/>
      <c r="AK70" s="733"/>
      <c r="AL70" s="734"/>
      <c r="AM70" s="786" t="s">
        <v>59</v>
      </c>
      <c r="AN70" s="787"/>
      <c r="AO70" s="543" t="str">
        <f>PRESUPUESTO!D18</f>
        <v>M2</v>
      </c>
      <c r="AP70" s="467"/>
      <c r="AQ70" s="467"/>
    </row>
    <row r="71" spans="1:43" s="144" customFormat="1" ht="19.899999999999999" customHeight="1">
      <c r="A71" s="467"/>
      <c r="B71" s="821" t="s">
        <v>60</v>
      </c>
      <c r="C71" s="822"/>
      <c r="D71" s="822"/>
      <c r="E71" s="822"/>
      <c r="F71" s="822"/>
      <c r="G71" s="822"/>
      <c r="H71" s="822"/>
      <c r="I71" s="823"/>
      <c r="J71" s="669" t="str">
        <f>PRESUPUESTO!A17</f>
        <v>3.0  CUBIERTAS Y ESTRUCTURAS METALICAS</v>
      </c>
      <c r="K71" s="670"/>
      <c r="L71" s="670"/>
      <c r="M71" s="670"/>
      <c r="N71" s="670"/>
      <c r="O71" s="670"/>
      <c r="P71" s="670"/>
      <c r="Q71" s="670"/>
      <c r="R71" s="670"/>
      <c r="S71" s="670"/>
      <c r="T71" s="670"/>
      <c r="U71" s="670"/>
      <c r="V71" s="670"/>
      <c r="W71" s="670"/>
      <c r="X71" s="670"/>
      <c r="Y71" s="670"/>
      <c r="Z71" s="670"/>
      <c r="AA71" s="670"/>
      <c r="AB71" s="670"/>
      <c r="AC71" s="670"/>
      <c r="AD71" s="670"/>
      <c r="AE71" s="670"/>
      <c r="AF71" s="671"/>
      <c r="AG71" s="824"/>
      <c r="AH71" s="828" t="s">
        <v>61</v>
      </c>
      <c r="AI71" s="830" t="s">
        <v>62</v>
      </c>
      <c r="AJ71" s="831"/>
      <c r="AK71" s="832"/>
      <c r="AL71" s="833" t="s">
        <v>63</v>
      </c>
      <c r="AM71" s="833" t="s">
        <v>64</v>
      </c>
      <c r="AN71" s="835" t="s">
        <v>65</v>
      </c>
      <c r="AO71" s="837" t="s">
        <v>66</v>
      </c>
      <c r="AP71" s="467"/>
      <c r="AQ71" s="467"/>
    </row>
    <row r="72" spans="1:43" s="144" customFormat="1" ht="54.75" customHeight="1">
      <c r="A72" s="467"/>
      <c r="B72" s="839" t="s">
        <v>67</v>
      </c>
      <c r="C72" s="840"/>
      <c r="D72" s="840"/>
      <c r="E72" s="840"/>
      <c r="F72" s="840"/>
      <c r="G72" s="840"/>
      <c r="H72" s="840"/>
      <c r="I72" s="841"/>
      <c r="J72" s="769">
        <f>PRESUPUESTO!A18</f>
        <v>3.1</v>
      </c>
      <c r="K72" s="770"/>
      <c r="L72" s="771" t="str">
        <f>PRESUPUESTO!C18</f>
        <v xml:space="preserve">MANTENIMIENTO DE TERRAZAS con suministro y aplicación de  manto impermeabilizante tipo N 4 o similar, (incluye correccion de pendiente, construccion de mediacañas y desmonte de manto o impermeabilizacion existente en caso de requerirse) </v>
      </c>
      <c r="M72" s="772"/>
      <c r="N72" s="772"/>
      <c r="O72" s="772"/>
      <c r="P72" s="772"/>
      <c r="Q72" s="772"/>
      <c r="R72" s="772"/>
      <c r="S72" s="772"/>
      <c r="T72" s="772"/>
      <c r="U72" s="772"/>
      <c r="V72" s="772"/>
      <c r="W72" s="772"/>
      <c r="X72" s="772"/>
      <c r="Y72" s="772"/>
      <c r="Z72" s="772"/>
      <c r="AA72" s="772"/>
      <c r="AB72" s="772"/>
      <c r="AC72" s="772"/>
      <c r="AD72" s="772"/>
      <c r="AE72" s="772"/>
      <c r="AF72" s="773"/>
      <c r="AG72" s="825"/>
      <c r="AH72" s="829"/>
      <c r="AI72" s="548" t="s">
        <v>68</v>
      </c>
      <c r="AJ72" s="548" t="s">
        <v>69</v>
      </c>
      <c r="AK72" s="548" t="s">
        <v>70</v>
      </c>
      <c r="AL72" s="834"/>
      <c r="AM72" s="834"/>
      <c r="AN72" s="836"/>
      <c r="AO72" s="838"/>
      <c r="AP72" s="467"/>
      <c r="AQ72" s="467"/>
    </row>
    <row r="73" spans="1:43" s="144" customFormat="1" ht="19.899999999999999" customHeight="1">
      <c r="A73" s="467"/>
      <c r="B73" s="85"/>
      <c r="C73" s="86"/>
      <c r="D73" s="86"/>
      <c r="E73" s="87"/>
      <c r="F73" s="88"/>
      <c r="G73" s="89"/>
      <c r="H73" s="89"/>
      <c r="I73" s="88"/>
      <c r="J73" s="90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89"/>
      <c r="X73" s="89"/>
      <c r="Y73" s="89"/>
      <c r="Z73" s="92"/>
      <c r="AA73" s="89"/>
      <c r="AB73" s="91"/>
      <c r="AC73" s="91"/>
      <c r="AD73" s="91"/>
      <c r="AE73" s="93"/>
      <c r="AF73" s="94"/>
      <c r="AG73" s="825"/>
      <c r="AH73" s="95"/>
      <c r="AI73" s="96"/>
      <c r="AJ73" s="96"/>
      <c r="AK73" s="96"/>
      <c r="AL73" s="96"/>
      <c r="AM73" s="96"/>
      <c r="AN73" s="97"/>
      <c r="AO73" s="98"/>
      <c r="AP73" s="467"/>
      <c r="AQ73" s="467"/>
    </row>
    <row r="74" spans="1:43" s="144" customFormat="1" ht="19.899999999999999" customHeight="1">
      <c r="A74" s="467"/>
      <c r="B74" s="99"/>
      <c r="C74" s="115"/>
      <c r="D74" s="115"/>
      <c r="E74" s="472"/>
      <c r="F74" s="473"/>
      <c r="G74" s="474"/>
      <c r="H74" s="474"/>
      <c r="I74" s="473"/>
      <c r="J74" s="475"/>
      <c r="K74" s="476"/>
      <c r="L74" s="476"/>
      <c r="M74" s="476"/>
      <c r="N74" s="476"/>
      <c r="O74" s="476"/>
      <c r="P74" s="476"/>
      <c r="Q74" s="476"/>
      <c r="R74" s="476"/>
      <c r="S74" s="476"/>
      <c r="T74" s="476"/>
      <c r="U74" s="476"/>
      <c r="V74" s="476"/>
      <c r="W74" s="474"/>
      <c r="X74" s="474"/>
      <c r="Y74" s="474"/>
      <c r="Z74" s="477"/>
      <c r="AA74" s="474"/>
      <c r="AB74" s="476"/>
      <c r="AC74" s="476"/>
      <c r="AD74" s="476"/>
      <c r="AE74" s="478"/>
      <c r="AF74" s="479"/>
      <c r="AG74" s="825"/>
      <c r="AH74" s="483"/>
      <c r="AI74" s="484">
        <v>54.5</v>
      </c>
      <c r="AJ74" s="484">
        <v>6.3</v>
      </c>
      <c r="AK74" s="484"/>
      <c r="AL74" s="484">
        <f>AI74*AJ74</f>
        <v>343.34999999999997</v>
      </c>
      <c r="AM74" s="384">
        <v>1</v>
      </c>
      <c r="AN74" s="117"/>
      <c r="AO74" s="119">
        <f>AM74*AL74</f>
        <v>343.34999999999997</v>
      </c>
      <c r="AP74" s="467"/>
      <c r="AQ74" s="467"/>
    </row>
    <row r="75" spans="1:43" s="144" customFormat="1" ht="19.899999999999999" customHeight="1">
      <c r="A75" s="467"/>
      <c r="B75" s="99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39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40"/>
      <c r="AE75" s="115"/>
      <c r="AF75" s="100"/>
      <c r="AG75" s="826"/>
      <c r="AH75" s="141"/>
      <c r="AI75" s="484"/>
      <c r="AJ75" s="484"/>
      <c r="AK75" s="484"/>
      <c r="AL75" s="484"/>
      <c r="AM75" s="384"/>
      <c r="AN75" s="117"/>
      <c r="AO75" s="119"/>
      <c r="AP75" s="467"/>
      <c r="AQ75" s="467"/>
    </row>
    <row r="76" spans="1:43" s="144" customFormat="1" ht="19.899999999999999" customHeight="1">
      <c r="A76" s="467"/>
      <c r="B76" s="99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39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40"/>
      <c r="AE76" s="115"/>
      <c r="AF76" s="100"/>
      <c r="AG76" s="826"/>
      <c r="AH76" s="141"/>
      <c r="AI76" s="103"/>
      <c r="AJ76" s="101"/>
      <c r="AK76" s="101"/>
      <c r="AL76" s="484"/>
      <c r="AM76" s="384"/>
      <c r="AN76" s="117"/>
      <c r="AO76" s="119"/>
      <c r="AP76" s="467"/>
      <c r="AQ76" s="467"/>
    </row>
    <row r="77" spans="1:43" s="144" customFormat="1" ht="19.899999999999999" customHeight="1">
      <c r="A77" s="467"/>
      <c r="B77" s="99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39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40"/>
      <c r="AE77" s="115"/>
      <c r="AF77" s="100"/>
      <c r="AG77" s="825"/>
      <c r="AH77" s="148"/>
      <c r="AI77" s="103"/>
      <c r="AJ77" s="101"/>
      <c r="AK77" s="101"/>
      <c r="AL77" s="484"/>
      <c r="AM77" s="384"/>
      <c r="AN77" s="494"/>
      <c r="AO77" s="119"/>
      <c r="AP77" s="467"/>
      <c r="AQ77" s="467"/>
    </row>
    <row r="78" spans="1:43" s="144" customFormat="1" ht="19.899999999999999" customHeight="1">
      <c r="A78" s="467"/>
      <c r="B78" s="99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39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40"/>
      <c r="AE78" s="115"/>
      <c r="AF78" s="100"/>
      <c r="AG78" s="825"/>
      <c r="AH78" s="95"/>
      <c r="AI78" s="103"/>
      <c r="AJ78" s="101"/>
      <c r="AK78" s="101"/>
      <c r="AL78" s="484"/>
      <c r="AM78" s="384"/>
      <c r="AN78" s="97"/>
      <c r="AO78" s="119"/>
      <c r="AP78" s="467"/>
      <c r="AQ78" s="467"/>
    </row>
    <row r="79" spans="1:43" s="144" customFormat="1" ht="19.899999999999999" customHeight="1">
      <c r="A79" s="467"/>
      <c r="B79" s="99"/>
      <c r="C79" s="115"/>
      <c r="D79" s="115"/>
      <c r="E79" s="115"/>
      <c r="F79" s="115"/>
      <c r="G79" s="115"/>
      <c r="H79" s="57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40"/>
      <c r="AE79" s="115"/>
      <c r="AF79" s="100"/>
      <c r="AG79" s="825"/>
      <c r="AH79" s="95"/>
      <c r="AI79" s="481"/>
      <c r="AJ79" s="481"/>
      <c r="AK79" s="481"/>
      <c r="AL79" s="384"/>
      <c r="AM79" s="384"/>
      <c r="AN79" s="97"/>
      <c r="AO79" s="119"/>
      <c r="AP79" s="467"/>
      <c r="AQ79" s="467"/>
    </row>
    <row r="80" spans="1:43" s="144" customFormat="1" ht="19.899999999999999" customHeight="1">
      <c r="A80" s="467"/>
      <c r="B80" s="99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40"/>
      <c r="AE80" s="115"/>
      <c r="AF80" s="100"/>
      <c r="AG80" s="825"/>
      <c r="AH80" s="480"/>
      <c r="AI80" s="485"/>
      <c r="AJ80" s="485"/>
      <c r="AK80" s="485"/>
      <c r="AL80" s="491"/>
      <c r="AM80" s="103"/>
      <c r="AN80" s="97"/>
      <c r="AO80" s="98"/>
      <c r="AP80" s="467"/>
      <c r="AQ80" s="467"/>
    </row>
    <row r="81" spans="1:43" s="144" customFormat="1" ht="19.899999999999999" customHeight="1">
      <c r="A81" s="467"/>
      <c r="B81" s="99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40"/>
      <c r="AE81" s="115"/>
      <c r="AF81" s="100"/>
      <c r="AG81" s="825"/>
      <c r="AH81" s="480"/>
      <c r="AI81" s="485"/>
      <c r="AJ81" s="485"/>
      <c r="AK81" s="485"/>
      <c r="AL81" s="491"/>
      <c r="AM81" s="103"/>
      <c r="AN81" s="97"/>
      <c r="AO81" s="98"/>
      <c r="AP81" s="467"/>
      <c r="AQ81" s="467"/>
    </row>
    <row r="82" spans="1:43" s="144" customFormat="1" ht="19.899999999999999" customHeight="1">
      <c r="A82" s="467"/>
      <c r="B82" s="576"/>
      <c r="AG82" s="825"/>
      <c r="AH82" s="480"/>
      <c r="AI82" s="485"/>
      <c r="AJ82" s="485"/>
      <c r="AK82" s="485"/>
      <c r="AL82" s="486"/>
      <c r="AM82" s="105"/>
      <c r="AN82" s="97"/>
      <c r="AO82" s="98"/>
      <c r="AP82" s="467"/>
      <c r="AQ82" s="467"/>
    </row>
    <row r="83" spans="1:43" s="144" customFormat="1" ht="19.899999999999999" customHeight="1">
      <c r="A83" s="467"/>
      <c r="B83" s="576"/>
      <c r="AG83" s="825"/>
      <c r="AH83" s="95"/>
      <c r="AI83" s="492"/>
      <c r="AJ83" s="493"/>
      <c r="AK83" s="493"/>
      <c r="AL83" s="97"/>
      <c r="AM83" s="106"/>
      <c r="AN83" s="97"/>
      <c r="AO83" s="98"/>
      <c r="AP83" s="467"/>
      <c r="AQ83" s="467"/>
    </row>
    <row r="84" spans="1:43" s="144" customFormat="1" ht="19.899999999999999" customHeight="1">
      <c r="A84" s="467"/>
      <c r="B84" s="774" t="s">
        <v>73</v>
      </c>
      <c r="C84" s="775"/>
      <c r="D84" s="775"/>
      <c r="E84" s="775"/>
      <c r="F84" s="775"/>
      <c r="G84" s="775"/>
      <c r="H84" s="775"/>
      <c r="I84" s="775"/>
      <c r="J84" s="775"/>
      <c r="K84" s="775"/>
      <c r="L84" s="775"/>
      <c r="M84" s="775"/>
      <c r="N84" s="775"/>
      <c r="O84" s="775"/>
      <c r="P84" s="775"/>
      <c r="Q84" s="775"/>
      <c r="R84" s="775"/>
      <c r="S84" s="775"/>
      <c r="T84" s="775"/>
      <c r="U84" s="775"/>
      <c r="V84" s="775"/>
      <c r="W84" s="775"/>
      <c r="X84" s="775"/>
      <c r="Y84" s="775"/>
      <c r="Z84" s="775"/>
      <c r="AA84" s="775"/>
      <c r="AB84" s="775"/>
      <c r="AC84" s="775"/>
      <c r="AD84" s="775"/>
      <c r="AE84" s="775"/>
      <c r="AF84" s="776"/>
      <c r="AG84" s="825"/>
      <c r="AH84" s="95"/>
      <c r="AI84" s="97"/>
      <c r="AJ84" s="101"/>
      <c r="AK84" s="101"/>
      <c r="AL84" s="97"/>
      <c r="AM84" s="106"/>
      <c r="AN84" s="97"/>
      <c r="AO84" s="107"/>
      <c r="AP84" s="467"/>
      <c r="AQ84" s="467"/>
    </row>
    <row r="85" spans="1:43" s="144" customFormat="1" ht="19.899999999999999" customHeight="1" thickBot="1">
      <c r="A85" s="467"/>
      <c r="B85" s="777"/>
      <c r="C85" s="778"/>
      <c r="D85" s="778"/>
      <c r="E85" s="778"/>
      <c r="F85" s="778"/>
      <c r="G85" s="778"/>
      <c r="H85" s="778"/>
      <c r="I85" s="778"/>
      <c r="J85" s="778"/>
      <c r="K85" s="778"/>
      <c r="L85" s="778"/>
      <c r="M85" s="778"/>
      <c r="N85" s="778"/>
      <c r="O85" s="778"/>
      <c r="P85" s="778"/>
      <c r="Q85" s="778"/>
      <c r="R85" s="778"/>
      <c r="S85" s="778"/>
      <c r="T85" s="778"/>
      <c r="U85" s="778"/>
      <c r="V85" s="778"/>
      <c r="W85" s="778"/>
      <c r="X85" s="778"/>
      <c r="Y85" s="778"/>
      <c r="Z85" s="778"/>
      <c r="AA85" s="778"/>
      <c r="AB85" s="778"/>
      <c r="AC85" s="778"/>
      <c r="AD85" s="778"/>
      <c r="AE85" s="778"/>
      <c r="AF85" s="779"/>
      <c r="AG85" s="827"/>
      <c r="AH85" s="108"/>
      <c r="AI85" s="109"/>
      <c r="AJ85" s="110"/>
      <c r="AK85" s="110"/>
      <c r="AL85" s="109"/>
      <c r="AM85" s="136">
        <f>+J72</f>
        <v>3.1</v>
      </c>
      <c r="AN85" s="137" t="s">
        <v>66</v>
      </c>
      <c r="AO85" s="116">
        <f>SUM(AO73:AO84)</f>
        <v>343.34999999999997</v>
      </c>
      <c r="AP85" s="467"/>
      <c r="AQ85" s="467"/>
    </row>
    <row r="86" spans="1:43" s="134" customFormat="1" ht="19.899999999999999" customHeight="1">
      <c r="A86" s="385"/>
      <c r="B86" s="388"/>
      <c r="C86" s="388"/>
      <c r="D86" s="388"/>
      <c r="E86" s="388"/>
      <c r="F86" s="388"/>
      <c r="G86" s="388"/>
      <c r="H86" s="388"/>
      <c r="I86" s="388"/>
      <c r="J86" s="388"/>
      <c r="K86" s="388"/>
      <c r="L86" s="388"/>
      <c r="M86" s="388"/>
      <c r="N86" s="388"/>
      <c r="O86" s="388"/>
      <c r="P86" s="388"/>
      <c r="Q86" s="388"/>
      <c r="R86" s="388"/>
      <c r="S86" s="388"/>
      <c r="T86" s="389"/>
      <c r="U86" s="389"/>
      <c r="V86" s="389"/>
      <c r="W86" s="389"/>
      <c r="X86" s="389"/>
      <c r="Y86" s="389"/>
      <c r="Z86" s="389"/>
      <c r="AA86" s="389"/>
      <c r="AB86" s="389"/>
      <c r="AC86" s="389"/>
      <c r="AD86" s="389"/>
      <c r="AE86" s="389"/>
      <c r="AF86" s="389"/>
      <c r="AG86" s="390"/>
      <c r="AH86" s="391"/>
      <c r="AI86" s="392"/>
      <c r="AJ86" s="393"/>
      <c r="AK86" s="393"/>
      <c r="AL86" s="392"/>
      <c r="AM86" s="394"/>
      <c r="AN86" s="395"/>
      <c r="AO86" s="396"/>
      <c r="AP86" s="385"/>
      <c r="AQ86" s="133"/>
    </row>
    <row r="87" spans="1:43" s="134" customFormat="1" ht="15" customHeight="1">
      <c r="A87" s="386"/>
      <c r="AP87" s="386"/>
    </row>
    <row r="88" spans="1:43" s="134" customFormat="1" ht="15" customHeight="1" thickBot="1">
      <c r="A88" s="386"/>
      <c r="AN88" s="144"/>
      <c r="AO88" s="144"/>
      <c r="AP88" s="386"/>
    </row>
    <row r="89" spans="1:43" s="144" customFormat="1" ht="19.899999999999999" customHeight="1">
      <c r="A89" s="467"/>
      <c r="B89" s="737" t="s">
        <v>50</v>
      </c>
      <c r="C89" s="738"/>
      <c r="D89" s="738"/>
      <c r="E89" s="738"/>
      <c r="F89" s="738"/>
      <c r="G89" s="738"/>
      <c r="H89" s="739"/>
      <c r="I89" s="743" t="str">
        <f>+PRESUPUESTO!$A$1</f>
        <v>" MEJORAMIENTO, ADECUACIÓN MENOR Y MANTENIMIENTO DE LA INFRAESTRUCTURA DE LAS INSTITUCIONES EDUCATIVAS URBANAS Y RURALES DEL MUNICIPIO DE SAN JOSÉ DE CÚCUTA"</v>
      </c>
      <c r="J89" s="744"/>
      <c r="K89" s="744"/>
      <c r="L89" s="744"/>
      <c r="M89" s="744"/>
      <c r="N89" s="744"/>
      <c r="O89" s="744"/>
      <c r="P89" s="744"/>
      <c r="Q89" s="744"/>
      <c r="R89" s="744"/>
      <c r="S89" s="744"/>
      <c r="T89" s="744"/>
      <c r="U89" s="744"/>
      <c r="V89" s="744"/>
      <c r="W89" s="744"/>
      <c r="X89" s="744"/>
      <c r="Y89" s="744"/>
      <c r="Z89" s="744"/>
      <c r="AA89" s="744"/>
      <c r="AB89" s="745"/>
      <c r="AC89" s="815" t="s">
        <v>51</v>
      </c>
      <c r="AD89" s="816"/>
      <c r="AE89" s="816"/>
      <c r="AF89" s="816"/>
      <c r="AG89" s="816"/>
      <c r="AH89" s="817"/>
      <c r="AI89" s="138" t="s">
        <v>52</v>
      </c>
      <c r="AJ89" s="138" t="s">
        <v>53</v>
      </c>
      <c r="AK89" s="755" t="s">
        <v>54</v>
      </c>
      <c r="AL89" s="756"/>
      <c r="AM89" s="757" t="s">
        <v>55</v>
      </c>
      <c r="AN89" s="758"/>
      <c r="AO89" s="759"/>
      <c r="AP89" s="467"/>
      <c r="AQ89" s="467"/>
    </row>
    <row r="90" spans="1:43" s="144" customFormat="1" ht="31.5" customHeight="1">
      <c r="A90" s="467"/>
      <c r="B90" s="740"/>
      <c r="C90" s="741"/>
      <c r="D90" s="741"/>
      <c r="E90" s="741"/>
      <c r="F90" s="741"/>
      <c r="G90" s="741"/>
      <c r="H90" s="742"/>
      <c r="I90" s="746"/>
      <c r="J90" s="747"/>
      <c r="K90" s="747"/>
      <c r="L90" s="747"/>
      <c r="M90" s="747"/>
      <c r="N90" s="747"/>
      <c r="O90" s="747"/>
      <c r="P90" s="747"/>
      <c r="Q90" s="747"/>
      <c r="R90" s="747"/>
      <c r="S90" s="747"/>
      <c r="T90" s="747"/>
      <c r="U90" s="747"/>
      <c r="V90" s="747"/>
      <c r="W90" s="747"/>
      <c r="X90" s="747"/>
      <c r="Y90" s="747"/>
      <c r="Z90" s="747"/>
      <c r="AA90" s="747"/>
      <c r="AB90" s="748"/>
      <c r="AC90" s="818"/>
      <c r="AD90" s="819"/>
      <c r="AE90" s="819"/>
      <c r="AF90" s="819"/>
      <c r="AG90" s="819"/>
      <c r="AH90" s="820"/>
      <c r="AI90" s="83"/>
      <c r="AJ90" s="83"/>
      <c r="AK90" s="760"/>
      <c r="AL90" s="761"/>
      <c r="AM90" s="780" t="s">
        <v>56</v>
      </c>
      <c r="AN90" s="781"/>
      <c r="AO90" s="782"/>
      <c r="AP90" s="467"/>
      <c r="AQ90" s="467"/>
    </row>
    <row r="91" spans="1:43" s="144" customFormat="1" ht="19.899999999999999" customHeight="1">
      <c r="A91" s="467"/>
      <c r="B91" s="788" t="s">
        <v>57</v>
      </c>
      <c r="C91" s="784"/>
      <c r="D91" s="784"/>
      <c r="E91" s="784"/>
      <c r="F91" s="784"/>
      <c r="G91" s="784"/>
      <c r="H91" s="784"/>
      <c r="I91" s="785"/>
      <c r="J91" s="726"/>
      <c r="K91" s="727"/>
      <c r="L91" s="727"/>
      <c r="M91" s="727"/>
      <c r="N91" s="727"/>
      <c r="O91" s="727"/>
      <c r="P91" s="727"/>
      <c r="Q91" s="727"/>
      <c r="R91" s="727"/>
      <c r="S91" s="727"/>
      <c r="T91" s="727"/>
      <c r="U91" s="727"/>
      <c r="V91" s="727"/>
      <c r="W91" s="727"/>
      <c r="X91" s="727"/>
      <c r="Y91" s="727"/>
      <c r="Z91" s="727"/>
      <c r="AA91" s="727"/>
      <c r="AB91" s="728"/>
      <c r="AC91" s="783" t="s">
        <v>58</v>
      </c>
      <c r="AD91" s="784"/>
      <c r="AE91" s="784"/>
      <c r="AF91" s="784"/>
      <c r="AG91" s="784"/>
      <c r="AH91" s="785"/>
      <c r="AI91" s="732"/>
      <c r="AJ91" s="733"/>
      <c r="AK91" s="733"/>
      <c r="AL91" s="734"/>
      <c r="AM91" s="786" t="s">
        <v>59</v>
      </c>
      <c r="AN91" s="787"/>
      <c r="AO91" s="543" t="str">
        <f>PRESUPUESTO!D19</f>
        <v>ML</v>
      </c>
      <c r="AP91" s="467"/>
      <c r="AQ91" s="467"/>
    </row>
    <row r="92" spans="1:43" s="144" customFormat="1" ht="19.899999999999999" customHeight="1">
      <c r="A92" s="467"/>
      <c r="B92" s="821" t="s">
        <v>60</v>
      </c>
      <c r="C92" s="822"/>
      <c r="D92" s="822"/>
      <c r="E92" s="822"/>
      <c r="F92" s="822"/>
      <c r="G92" s="822"/>
      <c r="H92" s="822"/>
      <c r="I92" s="823"/>
      <c r="J92" s="669" t="str">
        <f>PRESUPUESTO!A17</f>
        <v>3.0  CUBIERTAS Y ESTRUCTURAS METALICAS</v>
      </c>
      <c r="K92" s="670"/>
      <c r="L92" s="670"/>
      <c r="M92" s="670"/>
      <c r="N92" s="670"/>
      <c r="O92" s="670"/>
      <c r="P92" s="670"/>
      <c r="Q92" s="670"/>
      <c r="R92" s="670"/>
      <c r="S92" s="670"/>
      <c r="T92" s="670"/>
      <c r="U92" s="670"/>
      <c r="V92" s="670"/>
      <c r="W92" s="670"/>
      <c r="X92" s="670"/>
      <c r="Y92" s="670"/>
      <c r="Z92" s="670"/>
      <c r="AA92" s="670"/>
      <c r="AB92" s="670"/>
      <c r="AC92" s="670"/>
      <c r="AD92" s="670"/>
      <c r="AE92" s="670"/>
      <c r="AF92" s="671"/>
      <c r="AG92" s="824"/>
      <c r="AH92" s="828" t="s">
        <v>61</v>
      </c>
      <c r="AI92" s="830" t="s">
        <v>62</v>
      </c>
      <c r="AJ92" s="831"/>
      <c r="AK92" s="832"/>
      <c r="AL92" s="833" t="s">
        <v>63</v>
      </c>
      <c r="AM92" s="833" t="s">
        <v>64</v>
      </c>
      <c r="AN92" s="835" t="s">
        <v>65</v>
      </c>
      <c r="AO92" s="837" t="s">
        <v>66</v>
      </c>
      <c r="AP92" s="467"/>
      <c r="AQ92" s="467"/>
    </row>
    <row r="93" spans="1:43" s="144" customFormat="1" ht="54.75" customHeight="1">
      <c r="A93" s="467"/>
      <c r="B93" s="839" t="s">
        <v>67</v>
      </c>
      <c r="C93" s="840"/>
      <c r="D93" s="840"/>
      <c r="E93" s="840"/>
      <c r="F93" s="840"/>
      <c r="G93" s="840"/>
      <c r="H93" s="840"/>
      <c r="I93" s="841"/>
      <c r="J93" s="769">
        <f>PRESUPUESTO!A19</f>
        <v>3.2</v>
      </c>
      <c r="K93" s="770"/>
      <c r="L93" s="771" t="str">
        <f>PRESUPUESTO!C19</f>
        <v>SUMINISTRO E INSTALACION de baranda en tubo metálico de 11/2" y tensores de 2 filas en tubo metálico de 1", apoyada sobre parales en platina de acero de 2" X 3/16" y anclaje epoxico Hilti RD500</v>
      </c>
      <c r="M93" s="772"/>
      <c r="N93" s="772"/>
      <c r="O93" s="772"/>
      <c r="P93" s="772"/>
      <c r="Q93" s="772"/>
      <c r="R93" s="772"/>
      <c r="S93" s="772"/>
      <c r="T93" s="772"/>
      <c r="U93" s="772"/>
      <c r="V93" s="772"/>
      <c r="W93" s="772"/>
      <c r="X93" s="772"/>
      <c r="Y93" s="772"/>
      <c r="Z93" s="772"/>
      <c r="AA93" s="772"/>
      <c r="AB93" s="772"/>
      <c r="AC93" s="772"/>
      <c r="AD93" s="772"/>
      <c r="AE93" s="772"/>
      <c r="AF93" s="773"/>
      <c r="AG93" s="825"/>
      <c r="AH93" s="829"/>
      <c r="AI93" s="548" t="s">
        <v>68</v>
      </c>
      <c r="AJ93" s="548" t="s">
        <v>69</v>
      </c>
      <c r="AK93" s="548" t="s">
        <v>70</v>
      </c>
      <c r="AL93" s="834"/>
      <c r="AM93" s="834"/>
      <c r="AN93" s="836"/>
      <c r="AO93" s="838"/>
      <c r="AP93" s="467"/>
      <c r="AQ93" s="467"/>
    </row>
    <row r="94" spans="1:43" s="144" customFormat="1" ht="19.899999999999999" customHeight="1">
      <c r="A94" s="467"/>
      <c r="B94" s="85"/>
      <c r="C94" s="86"/>
      <c r="D94" s="86"/>
      <c r="E94" s="87"/>
      <c r="F94" s="88"/>
      <c r="G94" s="89"/>
      <c r="H94" s="89"/>
      <c r="I94" s="88"/>
      <c r="J94" s="90"/>
      <c r="K94" s="91"/>
      <c r="L94" s="91"/>
      <c r="M94" s="91"/>
      <c r="N94" s="91"/>
      <c r="O94" s="91"/>
      <c r="P94" s="91"/>
      <c r="Q94" s="91"/>
      <c r="R94" s="91"/>
      <c r="S94" s="91"/>
      <c r="T94" s="91"/>
      <c r="U94" s="91"/>
      <c r="V94" s="91"/>
      <c r="W94" s="89"/>
      <c r="X94" s="89"/>
      <c r="Y94" s="89"/>
      <c r="Z94" s="92"/>
      <c r="AA94" s="89"/>
      <c r="AB94" s="91"/>
      <c r="AC94" s="91"/>
      <c r="AD94" s="91"/>
      <c r="AE94" s="93"/>
      <c r="AF94" s="94"/>
      <c r="AG94" s="825"/>
      <c r="AH94" s="95"/>
      <c r="AI94" s="96"/>
      <c r="AJ94" s="96"/>
      <c r="AK94" s="96"/>
      <c r="AL94" s="96"/>
      <c r="AM94" s="96"/>
      <c r="AN94" s="97"/>
      <c r="AO94" s="98"/>
      <c r="AP94" s="467"/>
      <c r="AQ94" s="467"/>
    </row>
    <row r="95" spans="1:43" s="144" customFormat="1" ht="19.899999999999999" customHeight="1">
      <c r="A95" s="467"/>
      <c r="B95" s="99"/>
      <c r="C95" s="115"/>
      <c r="D95" s="115"/>
      <c r="E95" s="472"/>
      <c r="F95" s="473"/>
      <c r="G95" s="474"/>
      <c r="H95" s="474"/>
      <c r="I95" s="473"/>
      <c r="J95" s="475"/>
      <c r="K95" s="476"/>
      <c r="L95" s="476"/>
      <c r="M95" s="476"/>
      <c r="N95" s="476"/>
      <c r="O95" s="476"/>
      <c r="P95" s="476"/>
      <c r="Q95" s="476"/>
      <c r="R95" s="476"/>
      <c r="S95" s="476"/>
      <c r="T95" s="476"/>
      <c r="U95" s="476"/>
      <c r="V95" s="476"/>
      <c r="W95" s="474"/>
      <c r="X95" s="474"/>
      <c r="Y95" s="474"/>
      <c r="Z95" s="477"/>
      <c r="AA95" s="474"/>
      <c r="AB95" s="476"/>
      <c r="AC95" s="476"/>
      <c r="AD95" s="476"/>
      <c r="AE95" s="478"/>
      <c r="AF95" s="479"/>
      <c r="AG95" s="825"/>
      <c r="AH95" s="483"/>
      <c r="AI95" s="484">
        <v>10.6</v>
      </c>
      <c r="AJ95" s="484"/>
      <c r="AK95" s="484"/>
      <c r="AL95" s="484"/>
      <c r="AM95" s="384">
        <v>1</v>
      </c>
      <c r="AN95" s="117"/>
      <c r="AO95" s="539">
        <f>AM95*AI95</f>
        <v>10.6</v>
      </c>
      <c r="AP95" s="467"/>
      <c r="AQ95" s="467"/>
    </row>
    <row r="96" spans="1:43" s="144" customFormat="1" ht="19.899999999999999" customHeight="1">
      <c r="A96" s="467"/>
      <c r="B96" s="99"/>
      <c r="C96" s="115"/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39"/>
      <c r="P96" s="115"/>
      <c r="Q96" s="115"/>
      <c r="R96" s="115"/>
      <c r="S96" s="115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40"/>
      <c r="AE96" s="115"/>
      <c r="AF96" s="100"/>
      <c r="AG96" s="826"/>
      <c r="AH96" s="141"/>
      <c r="AI96" s="484"/>
      <c r="AJ96" s="484"/>
      <c r="AK96" s="484"/>
      <c r="AL96" s="484"/>
      <c r="AM96" s="384"/>
      <c r="AN96" s="117"/>
      <c r="AO96" s="539"/>
      <c r="AP96" s="467"/>
      <c r="AQ96" s="467"/>
    </row>
    <row r="97" spans="1:43" s="144" customFormat="1" ht="19.899999999999999" customHeight="1">
      <c r="A97" s="467"/>
      <c r="B97" s="99"/>
      <c r="C97" s="115"/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39"/>
      <c r="P97" s="11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40"/>
      <c r="AE97" s="115"/>
      <c r="AF97" s="100"/>
      <c r="AG97" s="826"/>
      <c r="AH97" s="141"/>
      <c r="AI97" s="103"/>
      <c r="AJ97" s="101"/>
      <c r="AK97" s="101"/>
      <c r="AL97" s="484"/>
      <c r="AM97" s="384"/>
      <c r="AN97" s="117"/>
      <c r="AO97" s="539"/>
      <c r="AP97" s="467"/>
      <c r="AQ97" s="467"/>
    </row>
    <row r="98" spans="1:43" s="144" customFormat="1" ht="19.899999999999999" customHeight="1">
      <c r="A98" s="467"/>
      <c r="B98" s="99"/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39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40"/>
      <c r="AE98" s="115"/>
      <c r="AF98" s="100"/>
      <c r="AG98" s="825"/>
      <c r="AH98" s="148"/>
      <c r="AI98" s="103"/>
      <c r="AJ98" s="101"/>
      <c r="AK98" s="101"/>
      <c r="AL98" s="484"/>
      <c r="AM98" s="384"/>
      <c r="AN98" s="494"/>
      <c r="AO98" s="539"/>
      <c r="AP98" s="467"/>
      <c r="AQ98" s="467"/>
    </row>
    <row r="99" spans="1:43" s="144" customFormat="1" ht="19.899999999999999" customHeight="1">
      <c r="A99" s="467"/>
      <c r="B99" s="99"/>
      <c r="C99" s="115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5"/>
      <c r="S99" s="115"/>
      <c r="T99" s="115"/>
      <c r="U99" s="115"/>
      <c r="V99" s="115"/>
      <c r="W99" s="115"/>
      <c r="X99" s="115"/>
      <c r="Y99" s="115"/>
      <c r="Z99" s="115"/>
      <c r="AA99" s="115"/>
      <c r="AB99" s="115"/>
      <c r="AC99" s="115"/>
      <c r="AD99" s="140"/>
      <c r="AE99" s="115"/>
      <c r="AF99" s="100"/>
      <c r="AG99" s="825"/>
      <c r="AH99" s="480"/>
      <c r="AI99" s="485"/>
      <c r="AJ99" s="485"/>
      <c r="AK99" s="485"/>
      <c r="AL99" s="491"/>
      <c r="AM99" s="103"/>
      <c r="AN99" s="97"/>
      <c r="AO99" s="540"/>
      <c r="AP99" s="467"/>
      <c r="AQ99" s="467"/>
    </row>
    <row r="100" spans="1:43" s="144" customFormat="1" ht="19.899999999999999" customHeight="1">
      <c r="A100" s="467"/>
      <c r="B100" s="99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40"/>
      <c r="AE100" s="115"/>
      <c r="AF100" s="100"/>
      <c r="AG100" s="825"/>
      <c r="AH100" s="480"/>
      <c r="AI100" s="485"/>
      <c r="AJ100" s="485"/>
      <c r="AK100" s="485"/>
      <c r="AL100" s="491"/>
      <c r="AM100" s="103"/>
      <c r="AN100" s="97"/>
      <c r="AO100" s="540"/>
      <c r="AP100" s="467"/>
      <c r="AQ100" s="467"/>
    </row>
    <row r="101" spans="1:43" s="144" customFormat="1" ht="19.899999999999999" customHeight="1">
      <c r="A101" s="467"/>
      <c r="B101" s="576"/>
      <c r="AG101" s="825"/>
      <c r="AH101" s="480"/>
      <c r="AI101" s="485"/>
      <c r="AJ101" s="485"/>
      <c r="AK101" s="485"/>
      <c r="AL101" s="486"/>
      <c r="AM101" s="105"/>
      <c r="AN101" s="97"/>
      <c r="AO101" s="540"/>
      <c r="AP101" s="467"/>
      <c r="AQ101" s="467"/>
    </row>
    <row r="102" spans="1:43" s="144" customFormat="1" ht="19.899999999999999" customHeight="1">
      <c r="A102" s="467"/>
      <c r="B102" s="576"/>
      <c r="AG102" s="825"/>
      <c r="AH102" s="95"/>
      <c r="AI102" s="492"/>
      <c r="AJ102" s="493"/>
      <c r="AK102" s="493"/>
      <c r="AL102" s="97"/>
      <c r="AM102" s="106"/>
      <c r="AN102" s="97"/>
      <c r="AO102" s="540"/>
      <c r="AP102" s="467"/>
      <c r="AQ102" s="467"/>
    </row>
    <row r="103" spans="1:43" s="144" customFormat="1" ht="19.899999999999999" customHeight="1">
      <c r="A103" s="467"/>
      <c r="B103" s="774" t="s">
        <v>73</v>
      </c>
      <c r="C103" s="775"/>
      <c r="D103" s="775"/>
      <c r="E103" s="775"/>
      <c r="F103" s="775"/>
      <c r="G103" s="775"/>
      <c r="H103" s="775"/>
      <c r="I103" s="775"/>
      <c r="J103" s="775"/>
      <c r="K103" s="775"/>
      <c r="L103" s="775"/>
      <c r="M103" s="775"/>
      <c r="N103" s="775"/>
      <c r="O103" s="775"/>
      <c r="P103" s="775"/>
      <c r="Q103" s="775"/>
      <c r="R103" s="775"/>
      <c r="S103" s="775"/>
      <c r="T103" s="775"/>
      <c r="U103" s="775"/>
      <c r="V103" s="775"/>
      <c r="W103" s="775"/>
      <c r="X103" s="775"/>
      <c r="Y103" s="775"/>
      <c r="Z103" s="775"/>
      <c r="AA103" s="775"/>
      <c r="AB103" s="775"/>
      <c r="AC103" s="775"/>
      <c r="AD103" s="775"/>
      <c r="AE103" s="775"/>
      <c r="AF103" s="776"/>
      <c r="AG103" s="825"/>
      <c r="AH103" s="95"/>
      <c r="AI103" s="97"/>
      <c r="AJ103" s="101"/>
      <c r="AK103" s="101"/>
      <c r="AL103" s="97"/>
      <c r="AM103" s="106"/>
      <c r="AN103" s="97"/>
      <c r="AO103" s="540"/>
      <c r="AP103" s="467"/>
      <c r="AQ103" s="467"/>
    </row>
    <row r="104" spans="1:43" s="144" customFormat="1" ht="19.899999999999999" customHeight="1" thickBot="1">
      <c r="A104" s="467"/>
      <c r="B104" s="777"/>
      <c r="C104" s="778"/>
      <c r="D104" s="778"/>
      <c r="E104" s="778"/>
      <c r="F104" s="778"/>
      <c r="G104" s="778"/>
      <c r="H104" s="778"/>
      <c r="I104" s="778"/>
      <c r="J104" s="778"/>
      <c r="K104" s="778"/>
      <c r="L104" s="778"/>
      <c r="M104" s="778"/>
      <c r="N104" s="778"/>
      <c r="O104" s="778"/>
      <c r="P104" s="778"/>
      <c r="Q104" s="778"/>
      <c r="R104" s="778"/>
      <c r="S104" s="778"/>
      <c r="T104" s="778"/>
      <c r="U104" s="778"/>
      <c r="V104" s="778"/>
      <c r="W104" s="778"/>
      <c r="X104" s="778"/>
      <c r="Y104" s="778"/>
      <c r="Z104" s="778"/>
      <c r="AA104" s="778"/>
      <c r="AB104" s="778"/>
      <c r="AC104" s="778"/>
      <c r="AD104" s="778"/>
      <c r="AE104" s="778"/>
      <c r="AF104" s="779"/>
      <c r="AG104" s="827"/>
      <c r="AH104" s="108"/>
      <c r="AI104" s="109"/>
      <c r="AJ104" s="110"/>
      <c r="AK104" s="110"/>
      <c r="AL104" s="109"/>
      <c r="AM104" s="136">
        <f>+J93</f>
        <v>3.2</v>
      </c>
      <c r="AN104" s="137" t="s">
        <v>66</v>
      </c>
      <c r="AO104" s="541">
        <f>SUM(AO94:AO103)</f>
        <v>10.6</v>
      </c>
      <c r="AP104" s="467"/>
      <c r="AQ104" s="467"/>
    </row>
    <row r="105" spans="1:43" s="134" customFormat="1" ht="19.899999999999999" customHeight="1">
      <c r="A105" s="385"/>
      <c r="B105" s="388"/>
      <c r="C105" s="388"/>
      <c r="D105" s="388"/>
      <c r="E105" s="388"/>
      <c r="F105" s="388"/>
      <c r="G105" s="388"/>
      <c r="H105" s="388"/>
      <c r="I105" s="388"/>
      <c r="J105" s="388"/>
      <c r="K105" s="388"/>
      <c r="L105" s="388"/>
      <c r="M105" s="388"/>
      <c r="N105" s="388"/>
      <c r="O105" s="388"/>
      <c r="P105" s="388"/>
      <c r="Q105" s="388"/>
      <c r="R105" s="388"/>
      <c r="S105" s="388"/>
      <c r="T105" s="389"/>
      <c r="U105" s="389"/>
      <c r="V105" s="389"/>
      <c r="W105" s="389"/>
      <c r="X105" s="389"/>
      <c r="Y105" s="389"/>
      <c r="Z105" s="389"/>
      <c r="AA105" s="389"/>
      <c r="AB105" s="389"/>
      <c r="AC105" s="389"/>
      <c r="AD105" s="389"/>
      <c r="AE105" s="389"/>
      <c r="AF105" s="389"/>
      <c r="AG105" s="390"/>
      <c r="AH105" s="391"/>
      <c r="AI105" s="392"/>
      <c r="AJ105" s="393"/>
      <c r="AK105" s="393"/>
      <c r="AL105" s="392"/>
      <c r="AM105" s="394"/>
      <c r="AN105" s="395"/>
      <c r="AO105" s="396"/>
      <c r="AP105" s="385"/>
      <c r="AQ105" s="133"/>
    </row>
    <row r="106" spans="1:43" s="134" customFormat="1" ht="15" customHeight="1">
      <c r="A106" s="386"/>
      <c r="AP106" s="386"/>
    </row>
    <row r="107" spans="1:43" s="134" customFormat="1" ht="15" customHeight="1" thickBot="1">
      <c r="A107" s="386"/>
      <c r="AP107" s="386"/>
    </row>
    <row r="108" spans="1:43" s="134" customFormat="1" ht="19.899999999999999" customHeight="1">
      <c r="A108" s="385"/>
      <c r="B108" s="737" t="s">
        <v>50</v>
      </c>
      <c r="C108" s="738"/>
      <c r="D108" s="738"/>
      <c r="E108" s="738"/>
      <c r="F108" s="738"/>
      <c r="G108" s="738"/>
      <c r="H108" s="739"/>
      <c r="I108" s="743" t="str">
        <f>+PRESUPUESTO!$A$1</f>
        <v>" MEJORAMIENTO, ADECUACIÓN MENOR Y MANTENIMIENTO DE LA INFRAESTRUCTURA DE LAS INSTITUCIONES EDUCATIVAS URBANAS Y RURALES DEL MUNICIPIO DE SAN JOSÉ DE CÚCUTA"</v>
      </c>
      <c r="J108" s="744"/>
      <c r="K108" s="744"/>
      <c r="L108" s="744"/>
      <c r="M108" s="744"/>
      <c r="N108" s="744"/>
      <c r="O108" s="744"/>
      <c r="P108" s="744"/>
      <c r="Q108" s="744"/>
      <c r="R108" s="744"/>
      <c r="S108" s="744"/>
      <c r="T108" s="744"/>
      <c r="U108" s="744"/>
      <c r="V108" s="744"/>
      <c r="W108" s="744"/>
      <c r="X108" s="744"/>
      <c r="Y108" s="744"/>
      <c r="Z108" s="744"/>
      <c r="AA108" s="744"/>
      <c r="AB108" s="745"/>
      <c r="AC108" s="815" t="s">
        <v>51</v>
      </c>
      <c r="AD108" s="816"/>
      <c r="AE108" s="816"/>
      <c r="AF108" s="816"/>
      <c r="AG108" s="816"/>
      <c r="AH108" s="817"/>
      <c r="AI108" s="138" t="s">
        <v>52</v>
      </c>
      <c r="AJ108" s="138" t="s">
        <v>53</v>
      </c>
      <c r="AK108" s="755" t="s">
        <v>54</v>
      </c>
      <c r="AL108" s="756"/>
      <c r="AM108" s="757" t="s">
        <v>55</v>
      </c>
      <c r="AN108" s="758"/>
      <c r="AO108" s="759"/>
      <c r="AP108" s="385"/>
      <c r="AQ108" s="133"/>
    </row>
    <row r="109" spans="1:43" s="134" customFormat="1" ht="19.899999999999999" customHeight="1">
      <c r="A109" s="385"/>
      <c r="B109" s="740"/>
      <c r="C109" s="741"/>
      <c r="D109" s="741"/>
      <c r="E109" s="741"/>
      <c r="F109" s="741"/>
      <c r="G109" s="741"/>
      <c r="H109" s="742"/>
      <c r="I109" s="746"/>
      <c r="J109" s="747"/>
      <c r="K109" s="747"/>
      <c r="L109" s="747"/>
      <c r="M109" s="747"/>
      <c r="N109" s="747"/>
      <c r="O109" s="747"/>
      <c r="P109" s="747"/>
      <c r="Q109" s="747"/>
      <c r="R109" s="747"/>
      <c r="S109" s="747"/>
      <c r="T109" s="747"/>
      <c r="U109" s="747"/>
      <c r="V109" s="747"/>
      <c r="W109" s="747"/>
      <c r="X109" s="747"/>
      <c r="Y109" s="747"/>
      <c r="Z109" s="747"/>
      <c r="AA109" s="747"/>
      <c r="AB109" s="748"/>
      <c r="AC109" s="818"/>
      <c r="AD109" s="819"/>
      <c r="AE109" s="819"/>
      <c r="AF109" s="819"/>
      <c r="AG109" s="819"/>
      <c r="AH109" s="820"/>
      <c r="AI109" s="83"/>
      <c r="AJ109" s="83"/>
      <c r="AK109" s="760"/>
      <c r="AL109" s="761"/>
      <c r="AM109" s="780" t="s">
        <v>56</v>
      </c>
      <c r="AN109" s="781"/>
      <c r="AO109" s="782"/>
      <c r="AP109" s="385"/>
      <c r="AQ109" s="133"/>
    </row>
    <row r="110" spans="1:43" s="134" customFormat="1" ht="19.899999999999999" customHeight="1">
      <c r="A110" s="385"/>
      <c r="B110" s="788" t="s">
        <v>57</v>
      </c>
      <c r="C110" s="784"/>
      <c r="D110" s="784"/>
      <c r="E110" s="784"/>
      <c r="F110" s="784"/>
      <c r="G110" s="784"/>
      <c r="H110" s="784"/>
      <c r="I110" s="785"/>
      <c r="J110" s="726"/>
      <c r="K110" s="727"/>
      <c r="L110" s="727"/>
      <c r="M110" s="727"/>
      <c r="N110" s="727"/>
      <c r="O110" s="727"/>
      <c r="P110" s="727"/>
      <c r="Q110" s="727"/>
      <c r="R110" s="727"/>
      <c r="S110" s="727"/>
      <c r="T110" s="727"/>
      <c r="U110" s="727"/>
      <c r="V110" s="727"/>
      <c r="W110" s="727"/>
      <c r="X110" s="727"/>
      <c r="Y110" s="727"/>
      <c r="Z110" s="727"/>
      <c r="AA110" s="727"/>
      <c r="AB110" s="728"/>
      <c r="AC110" s="783" t="s">
        <v>58</v>
      </c>
      <c r="AD110" s="784"/>
      <c r="AE110" s="784"/>
      <c r="AF110" s="784"/>
      <c r="AG110" s="784"/>
      <c r="AH110" s="785"/>
      <c r="AI110" s="732"/>
      <c r="AJ110" s="733"/>
      <c r="AK110" s="733"/>
      <c r="AL110" s="734"/>
      <c r="AM110" s="786" t="s">
        <v>59</v>
      </c>
      <c r="AN110" s="787"/>
      <c r="AO110" s="543" t="str">
        <f>PRESUPUESTO!D22</f>
        <v>M2</v>
      </c>
      <c r="AP110" s="385"/>
      <c r="AQ110" s="133"/>
    </row>
    <row r="111" spans="1:43" s="134" customFormat="1" ht="19.899999999999999" customHeight="1">
      <c r="A111" s="385"/>
      <c r="B111" s="801" t="s">
        <v>60</v>
      </c>
      <c r="C111" s="802"/>
      <c r="D111" s="802"/>
      <c r="E111" s="802"/>
      <c r="F111" s="802"/>
      <c r="G111" s="802"/>
      <c r="H111" s="802"/>
      <c r="I111" s="803"/>
      <c r="J111" s="669" t="str">
        <f>PRESUPUESTO!A21</f>
        <v>4.0 PINTURA</v>
      </c>
      <c r="K111" s="670"/>
      <c r="L111" s="670"/>
      <c r="M111" s="670"/>
      <c r="N111" s="670"/>
      <c r="O111" s="670"/>
      <c r="P111" s="670"/>
      <c r="Q111" s="670"/>
      <c r="R111" s="670"/>
      <c r="S111" s="670"/>
      <c r="T111" s="670"/>
      <c r="U111" s="670"/>
      <c r="V111" s="670"/>
      <c r="W111" s="670"/>
      <c r="X111" s="670"/>
      <c r="Y111" s="670"/>
      <c r="Z111" s="670"/>
      <c r="AA111" s="670"/>
      <c r="AB111" s="670"/>
      <c r="AC111" s="670"/>
      <c r="AD111" s="670"/>
      <c r="AE111" s="670"/>
      <c r="AF111" s="671"/>
      <c r="AG111" s="672"/>
      <c r="AH111" s="675" t="s">
        <v>61</v>
      </c>
      <c r="AI111" s="677" t="s">
        <v>62</v>
      </c>
      <c r="AJ111" s="795"/>
      <c r="AK111" s="796"/>
      <c r="AL111" s="678" t="s">
        <v>63</v>
      </c>
      <c r="AM111" s="678" t="s">
        <v>64</v>
      </c>
      <c r="AN111" s="679" t="s">
        <v>65</v>
      </c>
      <c r="AO111" s="721" t="s">
        <v>66</v>
      </c>
      <c r="AP111" s="143"/>
      <c r="AQ111" s="133"/>
    </row>
    <row r="112" spans="1:43" s="134" customFormat="1" ht="42.75" customHeight="1">
      <c r="A112" s="385"/>
      <c r="B112" s="804" t="s">
        <v>67</v>
      </c>
      <c r="C112" s="805"/>
      <c r="D112" s="805"/>
      <c r="E112" s="805"/>
      <c r="F112" s="805"/>
      <c r="G112" s="805"/>
      <c r="H112" s="805"/>
      <c r="I112" s="806"/>
      <c r="J112" s="769">
        <f>PRESUPUESTO!A22</f>
        <v>4.0999999999999996</v>
      </c>
      <c r="K112" s="770"/>
      <c r="L112" s="771" t="str">
        <f>PRESUPUESTO!C22</f>
        <v>SUMINISTRO DE MATERIALES Y APLICACIÓN DE TRES (3) MANOS DE PINTURA VINILICA PARA MUROS TIPO 1(INCLUYE RESANES) COLOR A ESCOGER.</v>
      </c>
      <c r="M112" s="772"/>
      <c r="N112" s="772"/>
      <c r="O112" s="772"/>
      <c r="P112" s="772"/>
      <c r="Q112" s="772"/>
      <c r="R112" s="772"/>
      <c r="S112" s="772"/>
      <c r="T112" s="772"/>
      <c r="U112" s="772"/>
      <c r="V112" s="772"/>
      <c r="W112" s="772"/>
      <c r="X112" s="772"/>
      <c r="Y112" s="772"/>
      <c r="Z112" s="772"/>
      <c r="AA112" s="772"/>
      <c r="AB112" s="772"/>
      <c r="AC112" s="772"/>
      <c r="AD112" s="772"/>
      <c r="AE112" s="772"/>
      <c r="AF112" s="773"/>
      <c r="AG112" s="791"/>
      <c r="AH112" s="794"/>
      <c r="AI112" s="84" t="s">
        <v>68</v>
      </c>
      <c r="AJ112" s="84" t="s">
        <v>69</v>
      </c>
      <c r="AK112" s="84" t="s">
        <v>70</v>
      </c>
      <c r="AL112" s="797"/>
      <c r="AM112" s="797"/>
      <c r="AN112" s="798"/>
      <c r="AO112" s="765"/>
      <c r="AP112" s="143"/>
      <c r="AQ112" s="133"/>
    </row>
    <row r="113" spans="1:43" s="134" customFormat="1" ht="19.899999999999999" customHeight="1">
      <c r="A113" s="385"/>
      <c r="B113" s="85"/>
      <c r="C113" s="86"/>
      <c r="D113" s="86"/>
      <c r="E113" s="87"/>
      <c r="F113" s="88"/>
      <c r="G113" s="89"/>
      <c r="H113" s="89"/>
      <c r="I113" s="88"/>
      <c r="J113" s="90"/>
      <c r="K113" s="91"/>
      <c r="L113" s="91"/>
      <c r="M113" s="91"/>
      <c r="N113" s="91"/>
      <c r="O113" s="91"/>
      <c r="P113" s="91"/>
      <c r="Q113" s="91"/>
      <c r="R113" s="91"/>
      <c r="S113" s="91"/>
      <c r="T113" s="91"/>
      <c r="U113" s="91"/>
      <c r="V113" s="91"/>
      <c r="W113" s="89"/>
      <c r="X113" s="89"/>
      <c r="Y113" s="89"/>
      <c r="Z113" s="92"/>
      <c r="AA113" s="89"/>
      <c r="AB113" s="91"/>
      <c r="AC113" s="91"/>
      <c r="AD113" s="91"/>
      <c r="AE113" s="93"/>
      <c r="AF113" s="94"/>
      <c r="AG113" s="791"/>
      <c r="AH113" s="95"/>
      <c r="AI113" s="96"/>
      <c r="AJ113" s="96"/>
      <c r="AK113" s="96"/>
      <c r="AL113" s="96"/>
      <c r="AM113" s="96"/>
      <c r="AN113" s="97"/>
      <c r="AO113" s="98"/>
      <c r="AP113" s="143"/>
      <c r="AQ113" s="133"/>
    </row>
    <row r="114" spans="1:43" s="144" customFormat="1" ht="19.899999999999999" customHeight="1">
      <c r="A114" s="143"/>
      <c r="B114" s="99"/>
      <c r="C114" s="115"/>
      <c r="D114" s="115"/>
      <c r="E114" s="472"/>
      <c r="F114" s="473"/>
      <c r="G114" s="474"/>
      <c r="H114" s="474"/>
      <c r="I114" s="473"/>
      <c r="J114" s="475"/>
      <c r="K114" s="476"/>
      <c r="L114" s="476"/>
      <c r="M114" s="476"/>
      <c r="N114" s="476"/>
      <c r="O114" s="476"/>
      <c r="P114" s="476"/>
      <c r="Q114" s="476"/>
      <c r="R114" s="476"/>
      <c r="S114" s="476"/>
      <c r="T114" s="476"/>
      <c r="U114" s="476"/>
      <c r="V114" s="476"/>
      <c r="W114" s="474"/>
      <c r="X114" s="474"/>
      <c r="Y114" s="474"/>
      <c r="Z114" s="477"/>
      <c r="AA114" s="474"/>
      <c r="AB114" s="476"/>
      <c r="AC114" s="476"/>
      <c r="AD114" s="476"/>
      <c r="AE114" s="478"/>
      <c r="AF114" s="479"/>
      <c r="AG114" s="791"/>
      <c r="AH114" s="483"/>
      <c r="AI114" s="484">
        <f>(54.5+7.8)</f>
        <v>62.3</v>
      </c>
      <c r="AJ114" s="484"/>
      <c r="AK114" s="484">
        <v>2.8</v>
      </c>
      <c r="AL114" s="484">
        <f>AI114*AK114</f>
        <v>174.43999999999997</v>
      </c>
      <c r="AM114" s="384">
        <v>1</v>
      </c>
      <c r="AN114" s="117"/>
      <c r="AO114" s="119">
        <f>AM114*AL114</f>
        <v>174.43999999999997</v>
      </c>
      <c r="AP114" s="143"/>
      <c r="AQ114" s="467"/>
    </row>
    <row r="115" spans="1:43" s="134" customFormat="1" ht="19.899999999999999" customHeight="1">
      <c r="A115" s="385"/>
      <c r="B115" s="463"/>
      <c r="C115" s="577"/>
      <c r="D115" s="577"/>
      <c r="E115" s="577"/>
      <c r="F115" s="577"/>
      <c r="G115" s="577"/>
      <c r="H115" s="577"/>
      <c r="I115" s="577"/>
      <c r="J115" s="577"/>
      <c r="K115" s="577"/>
      <c r="L115" s="577"/>
      <c r="M115" s="577"/>
      <c r="N115" s="577"/>
      <c r="O115" s="578"/>
      <c r="P115" s="577"/>
      <c r="Q115" s="577"/>
      <c r="R115" s="577"/>
      <c r="S115" s="577"/>
      <c r="T115" s="577"/>
      <c r="U115" s="577"/>
      <c r="V115" s="577"/>
      <c r="W115" s="577"/>
      <c r="X115" s="577"/>
      <c r="Y115" s="577"/>
      <c r="Z115" s="577"/>
      <c r="AA115" s="577"/>
      <c r="AB115" s="577"/>
      <c r="AC115" s="577"/>
      <c r="AD115" s="579"/>
      <c r="AE115" s="577"/>
      <c r="AF115" s="464"/>
      <c r="AG115" s="792"/>
      <c r="AH115" s="141"/>
      <c r="AI115" s="484">
        <f>20+2.45</f>
        <v>22.45</v>
      </c>
      <c r="AJ115" s="484"/>
      <c r="AK115" s="484">
        <v>2.8</v>
      </c>
      <c r="AL115" s="484">
        <f t="shared" ref="AL115:AL118" si="4">AI115*AK115</f>
        <v>62.859999999999992</v>
      </c>
      <c r="AM115" s="384">
        <v>2</v>
      </c>
      <c r="AN115" s="117"/>
      <c r="AO115" s="119">
        <f t="shared" ref="AO115:AO118" si="5">AM115*AL115</f>
        <v>125.71999999999998</v>
      </c>
      <c r="AP115" s="385"/>
      <c r="AQ115" s="133"/>
    </row>
    <row r="116" spans="1:43" s="134" customFormat="1" ht="19.899999999999999" customHeight="1">
      <c r="A116" s="385"/>
      <c r="B116" s="463"/>
      <c r="C116" s="577"/>
      <c r="D116" s="577"/>
      <c r="E116" s="577"/>
      <c r="F116" s="577"/>
      <c r="G116" s="577"/>
      <c r="H116" s="577"/>
      <c r="I116" s="577"/>
      <c r="J116" s="577"/>
      <c r="K116" s="577"/>
      <c r="L116" s="577"/>
      <c r="M116" s="577"/>
      <c r="N116" s="577"/>
      <c r="O116" s="578"/>
      <c r="P116" s="577"/>
      <c r="Q116" s="577"/>
      <c r="R116" s="577"/>
      <c r="S116" s="577"/>
      <c r="T116" s="577"/>
      <c r="U116" s="577"/>
      <c r="V116" s="577"/>
      <c r="W116" s="577"/>
      <c r="X116" s="577"/>
      <c r="Y116" s="577"/>
      <c r="Z116" s="577"/>
      <c r="AA116" s="577"/>
      <c r="AB116" s="577"/>
      <c r="AC116" s="577"/>
      <c r="AD116" s="579"/>
      <c r="AE116" s="577"/>
      <c r="AF116" s="464"/>
      <c r="AG116" s="792"/>
      <c r="AH116" s="141"/>
      <c r="AI116" s="103">
        <f>18+2.45+1.98</f>
        <v>22.43</v>
      </c>
      <c r="AJ116" s="101"/>
      <c r="AK116" s="101">
        <v>2.8</v>
      </c>
      <c r="AL116" s="484">
        <f t="shared" si="4"/>
        <v>62.803999999999995</v>
      </c>
      <c r="AM116" s="384">
        <v>1</v>
      </c>
      <c r="AN116" s="117"/>
      <c r="AO116" s="119">
        <f t="shared" si="5"/>
        <v>62.803999999999995</v>
      </c>
      <c r="AP116" s="385"/>
      <c r="AQ116" s="133"/>
    </row>
    <row r="117" spans="1:43" s="134" customFormat="1" ht="19.899999999999999" customHeight="1">
      <c r="A117" s="385"/>
      <c r="B117" s="463"/>
      <c r="C117" s="577"/>
      <c r="D117" s="577"/>
      <c r="E117" s="577"/>
      <c r="F117" s="577"/>
      <c r="G117" s="577"/>
      <c r="H117" s="577"/>
      <c r="I117" s="577"/>
      <c r="J117" s="577"/>
      <c r="K117" s="577"/>
      <c r="L117" s="577"/>
      <c r="M117" s="577"/>
      <c r="N117" s="577"/>
      <c r="O117" s="578"/>
      <c r="P117" s="577"/>
      <c r="Q117" s="577"/>
      <c r="R117" s="577"/>
      <c r="S117" s="577"/>
      <c r="T117" s="577"/>
      <c r="U117" s="577"/>
      <c r="V117" s="577"/>
      <c r="W117" s="577"/>
      <c r="X117" s="577"/>
      <c r="Y117" s="577"/>
      <c r="Z117" s="577"/>
      <c r="AA117" s="577"/>
      <c r="AB117" s="577"/>
      <c r="AC117" s="577"/>
      <c r="AD117" s="579"/>
      <c r="AE117" s="577"/>
      <c r="AF117" s="464"/>
      <c r="AG117" s="791"/>
      <c r="AH117" s="148"/>
      <c r="AI117" s="103">
        <f>5.3+2.6</f>
        <v>7.9</v>
      </c>
      <c r="AJ117" s="101"/>
      <c r="AK117" s="101">
        <v>2.8</v>
      </c>
      <c r="AL117" s="484">
        <f t="shared" si="4"/>
        <v>22.12</v>
      </c>
      <c r="AM117" s="384">
        <v>1</v>
      </c>
      <c r="AN117" s="494"/>
      <c r="AO117" s="119">
        <f t="shared" si="5"/>
        <v>22.12</v>
      </c>
      <c r="AP117" s="385"/>
      <c r="AQ117" s="133"/>
    </row>
    <row r="118" spans="1:43" s="134" customFormat="1" ht="19.899999999999999" customHeight="1">
      <c r="A118" s="385"/>
      <c r="B118" s="99"/>
      <c r="C118" s="115"/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39"/>
      <c r="P118" s="115"/>
      <c r="Q118" s="115"/>
      <c r="R118" s="115"/>
      <c r="S118" s="115"/>
      <c r="T118" s="115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40"/>
      <c r="AE118" s="115"/>
      <c r="AF118" s="100"/>
      <c r="AG118" s="791"/>
      <c r="AH118" s="95"/>
      <c r="AI118" s="103">
        <v>5.3</v>
      </c>
      <c r="AJ118" s="101"/>
      <c r="AK118" s="101">
        <v>3</v>
      </c>
      <c r="AL118" s="484">
        <f t="shared" si="4"/>
        <v>15.899999999999999</v>
      </c>
      <c r="AM118" s="384">
        <v>2</v>
      </c>
      <c r="AN118" s="97"/>
      <c r="AO118" s="119">
        <f t="shared" si="5"/>
        <v>31.799999999999997</v>
      </c>
      <c r="AP118" s="143"/>
      <c r="AQ118" s="133"/>
    </row>
    <row r="119" spans="1:43" s="134" customFormat="1" ht="19.899999999999999" customHeight="1">
      <c r="A119" s="385"/>
      <c r="B119" s="99"/>
      <c r="C119" s="115"/>
      <c r="D119" s="115"/>
      <c r="E119" s="115"/>
      <c r="F119" s="115"/>
      <c r="G119" s="115"/>
      <c r="H119" s="57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5"/>
      <c r="S119" s="115"/>
      <c r="T119" s="115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40"/>
      <c r="AE119" s="115"/>
      <c r="AF119" s="100"/>
      <c r="AG119" s="791"/>
      <c r="AH119" s="95"/>
      <c r="AI119" s="481"/>
      <c r="AJ119" s="481"/>
      <c r="AK119" s="481"/>
      <c r="AL119" s="384"/>
      <c r="AM119" s="384"/>
      <c r="AN119" s="97"/>
      <c r="AO119" s="119"/>
      <c r="AP119" s="143"/>
      <c r="AQ119" s="133"/>
    </row>
    <row r="120" spans="1:43" s="134" customFormat="1" ht="19.899999999999999" customHeight="1">
      <c r="A120" s="385"/>
      <c r="B120" s="99"/>
      <c r="C120" s="115"/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40"/>
      <c r="AE120" s="115"/>
      <c r="AF120" s="100"/>
      <c r="AG120" s="791"/>
      <c r="AH120" s="480"/>
      <c r="AI120" s="485"/>
      <c r="AJ120" s="485"/>
      <c r="AK120" s="485"/>
      <c r="AL120" s="491"/>
      <c r="AM120" s="103"/>
      <c r="AN120" s="97"/>
      <c r="AO120" s="98"/>
      <c r="AP120" s="143"/>
      <c r="AQ120" s="133"/>
    </row>
    <row r="121" spans="1:43" s="134" customFormat="1" ht="19.899999999999999" customHeight="1">
      <c r="A121" s="385"/>
      <c r="B121" s="99"/>
      <c r="C121" s="115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5"/>
      <c r="S121" s="115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40"/>
      <c r="AE121" s="115"/>
      <c r="AF121" s="100"/>
      <c r="AG121" s="791"/>
      <c r="AH121" s="480"/>
      <c r="AI121" s="485"/>
      <c r="AJ121" s="485"/>
      <c r="AK121" s="485"/>
      <c r="AL121" s="491"/>
      <c r="AM121" s="103"/>
      <c r="AN121" s="97"/>
      <c r="AO121" s="98"/>
      <c r="AP121" s="143"/>
      <c r="AQ121" s="133"/>
    </row>
    <row r="122" spans="1:43" s="134" customFormat="1" ht="19.899999999999999" customHeight="1">
      <c r="A122" s="385"/>
      <c r="B122" s="580"/>
      <c r="AG122" s="791"/>
      <c r="AH122" s="480"/>
      <c r="AI122" s="485"/>
      <c r="AJ122" s="485"/>
      <c r="AK122" s="485"/>
      <c r="AL122" s="486"/>
      <c r="AM122" s="105"/>
      <c r="AN122" s="97"/>
      <c r="AO122" s="98"/>
      <c r="AP122" s="143"/>
      <c r="AQ122" s="133"/>
    </row>
    <row r="123" spans="1:43" s="134" customFormat="1" ht="19.899999999999999" customHeight="1">
      <c r="A123" s="385"/>
      <c r="B123" s="580"/>
      <c r="AG123" s="791"/>
      <c r="AH123" s="95"/>
      <c r="AI123" s="492"/>
      <c r="AJ123" s="493"/>
      <c r="AK123" s="493"/>
      <c r="AL123" s="97"/>
      <c r="AM123" s="106"/>
      <c r="AN123" s="97"/>
      <c r="AO123" s="98"/>
      <c r="AP123" s="143"/>
      <c r="AQ123" s="133"/>
    </row>
    <row r="124" spans="1:43" s="134" customFormat="1" ht="19.899999999999999" customHeight="1">
      <c r="A124" s="385"/>
      <c r="B124" s="774" t="s">
        <v>73</v>
      </c>
      <c r="C124" s="775"/>
      <c r="D124" s="775"/>
      <c r="E124" s="775"/>
      <c r="F124" s="775"/>
      <c r="G124" s="775"/>
      <c r="H124" s="775"/>
      <c r="I124" s="775"/>
      <c r="J124" s="775"/>
      <c r="K124" s="775"/>
      <c r="L124" s="775"/>
      <c r="M124" s="775"/>
      <c r="N124" s="775"/>
      <c r="O124" s="775"/>
      <c r="P124" s="775"/>
      <c r="Q124" s="775"/>
      <c r="R124" s="775"/>
      <c r="S124" s="775"/>
      <c r="T124" s="775"/>
      <c r="U124" s="775"/>
      <c r="V124" s="775"/>
      <c r="W124" s="775"/>
      <c r="X124" s="775"/>
      <c r="Y124" s="775"/>
      <c r="Z124" s="775"/>
      <c r="AA124" s="775"/>
      <c r="AB124" s="775"/>
      <c r="AC124" s="775"/>
      <c r="AD124" s="775"/>
      <c r="AE124" s="775"/>
      <c r="AF124" s="776"/>
      <c r="AG124" s="791"/>
      <c r="AH124" s="95"/>
      <c r="AI124" s="97"/>
      <c r="AJ124" s="101"/>
      <c r="AK124" s="101"/>
      <c r="AL124" s="97"/>
      <c r="AM124" s="106"/>
      <c r="AN124" s="97"/>
      <c r="AO124" s="107"/>
      <c r="AP124" s="143"/>
      <c r="AQ124" s="133"/>
    </row>
    <row r="125" spans="1:43" s="134" customFormat="1" ht="19.899999999999999" customHeight="1" thickBot="1">
      <c r="A125" s="385"/>
      <c r="B125" s="777"/>
      <c r="C125" s="778"/>
      <c r="D125" s="778"/>
      <c r="E125" s="778"/>
      <c r="F125" s="778"/>
      <c r="G125" s="778"/>
      <c r="H125" s="778"/>
      <c r="I125" s="778"/>
      <c r="J125" s="778"/>
      <c r="K125" s="778"/>
      <c r="L125" s="778"/>
      <c r="M125" s="778"/>
      <c r="N125" s="778"/>
      <c r="O125" s="778"/>
      <c r="P125" s="778"/>
      <c r="Q125" s="778"/>
      <c r="R125" s="778"/>
      <c r="S125" s="778"/>
      <c r="T125" s="778"/>
      <c r="U125" s="778"/>
      <c r="V125" s="778"/>
      <c r="W125" s="778"/>
      <c r="X125" s="778"/>
      <c r="Y125" s="778"/>
      <c r="Z125" s="778"/>
      <c r="AA125" s="778"/>
      <c r="AB125" s="778"/>
      <c r="AC125" s="778"/>
      <c r="AD125" s="778"/>
      <c r="AE125" s="778"/>
      <c r="AF125" s="779"/>
      <c r="AG125" s="793"/>
      <c r="AH125" s="108"/>
      <c r="AI125" s="109"/>
      <c r="AJ125" s="110"/>
      <c r="AK125" s="110"/>
      <c r="AL125" s="109"/>
      <c r="AM125" s="136">
        <f>+J112</f>
        <v>4.0999999999999996</v>
      </c>
      <c r="AN125" s="137" t="s">
        <v>66</v>
      </c>
      <c r="AO125" s="116">
        <f>SUM(AO113:AO124)</f>
        <v>416.88399999999996</v>
      </c>
      <c r="AP125" s="143"/>
      <c r="AQ125" s="133"/>
    </row>
    <row r="126" spans="1:43" s="134" customFormat="1" ht="19.899999999999999" customHeight="1">
      <c r="A126" s="385"/>
      <c r="B126" s="388"/>
      <c r="C126" s="388"/>
      <c r="D126" s="388"/>
      <c r="E126" s="388"/>
      <c r="F126" s="388"/>
      <c r="G126" s="388"/>
      <c r="H126" s="388"/>
      <c r="I126" s="388"/>
      <c r="J126" s="388"/>
      <c r="K126" s="388"/>
      <c r="L126" s="388"/>
      <c r="M126" s="388"/>
      <c r="N126" s="388"/>
      <c r="O126" s="388"/>
      <c r="P126" s="388"/>
      <c r="Q126" s="388"/>
      <c r="R126" s="388"/>
      <c r="S126" s="388"/>
      <c r="T126" s="389"/>
      <c r="U126" s="389"/>
      <c r="V126" s="389"/>
      <c r="W126" s="389"/>
      <c r="X126" s="389"/>
      <c r="Y126" s="389"/>
      <c r="Z126" s="389"/>
      <c r="AA126" s="389"/>
      <c r="AB126" s="389"/>
      <c r="AC126" s="389"/>
      <c r="AD126" s="389"/>
      <c r="AE126" s="389"/>
      <c r="AF126" s="389"/>
      <c r="AG126" s="390"/>
      <c r="AH126" s="391"/>
      <c r="AI126" s="392"/>
      <c r="AJ126" s="393"/>
      <c r="AK126" s="393"/>
      <c r="AL126" s="392"/>
      <c r="AM126" s="394"/>
      <c r="AN126" s="395"/>
      <c r="AO126" s="396"/>
      <c r="AP126" s="385"/>
      <c r="AQ126" s="133"/>
    </row>
    <row r="127" spans="1:43" s="134" customFormat="1" ht="15" customHeight="1" thickBot="1">
      <c r="A127" s="386"/>
      <c r="AP127" s="386"/>
    </row>
    <row r="128" spans="1:43" s="134" customFormat="1" ht="19.899999999999999" customHeight="1">
      <c r="A128" s="385"/>
      <c r="B128" s="737" t="s">
        <v>50</v>
      </c>
      <c r="C128" s="738"/>
      <c r="D128" s="738"/>
      <c r="E128" s="738"/>
      <c r="F128" s="738"/>
      <c r="G128" s="738"/>
      <c r="H128" s="739"/>
      <c r="I128" s="743" t="str">
        <f>+PRESUPUESTO!$A$1</f>
        <v>" MEJORAMIENTO, ADECUACIÓN MENOR Y MANTENIMIENTO DE LA INFRAESTRUCTURA DE LAS INSTITUCIONES EDUCATIVAS URBANAS Y RURALES DEL MUNICIPIO DE SAN JOSÉ DE CÚCUTA"</v>
      </c>
      <c r="J128" s="744"/>
      <c r="K128" s="744"/>
      <c r="L128" s="744"/>
      <c r="M128" s="744"/>
      <c r="N128" s="744"/>
      <c r="O128" s="744"/>
      <c r="P128" s="744"/>
      <c r="Q128" s="744"/>
      <c r="R128" s="744"/>
      <c r="S128" s="744"/>
      <c r="T128" s="744"/>
      <c r="U128" s="744"/>
      <c r="V128" s="744"/>
      <c r="W128" s="744"/>
      <c r="X128" s="744"/>
      <c r="Y128" s="744"/>
      <c r="Z128" s="744"/>
      <c r="AA128" s="744"/>
      <c r="AB128" s="745"/>
      <c r="AC128" s="749" t="s">
        <v>51</v>
      </c>
      <c r="AD128" s="750"/>
      <c r="AE128" s="750"/>
      <c r="AF128" s="750"/>
      <c r="AG128" s="750"/>
      <c r="AH128" s="751"/>
      <c r="AI128" s="138" t="s">
        <v>52</v>
      </c>
      <c r="AJ128" s="138" t="s">
        <v>53</v>
      </c>
      <c r="AK128" s="755" t="s">
        <v>54</v>
      </c>
      <c r="AL128" s="756"/>
      <c r="AM128" s="757" t="s">
        <v>55</v>
      </c>
      <c r="AN128" s="758"/>
      <c r="AO128" s="759"/>
      <c r="AP128" s="385"/>
      <c r="AQ128" s="133"/>
    </row>
    <row r="129" spans="1:43" s="134" customFormat="1" ht="19.899999999999999" customHeight="1">
      <c r="A129" s="385"/>
      <c r="B129" s="740"/>
      <c r="C129" s="741"/>
      <c r="D129" s="741"/>
      <c r="E129" s="741"/>
      <c r="F129" s="741"/>
      <c r="G129" s="741"/>
      <c r="H129" s="742"/>
      <c r="I129" s="746"/>
      <c r="J129" s="747"/>
      <c r="K129" s="747"/>
      <c r="L129" s="747"/>
      <c r="M129" s="747"/>
      <c r="N129" s="747"/>
      <c r="O129" s="747"/>
      <c r="P129" s="747"/>
      <c r="Q129" s="747"/>
      <c r="R129" s="747"/>
      <c r="S129" s="747"/>
      <c r="T129" s="747"/>
      <c r="U129" s="747"/>
      <c r="V129" s="747"/>
      <c r="W129" s="747"/>
      <c r="X129" s="747"/>
      <c r="Y129" s="747"/>
      <c r="Z129" s="747"/>
      <c r="AA129" s="747"/>
      <c r="AB129" s="748"/>
      <c r="AC129" s="752"/>
      <c r="AD129" s="753"/>
      <c r="AE129" s="753"/>
      <c r="AF129" s="753"/>
      <c r="AG129" s="753"/>
      <c r="AH129" s="754"/>
      <c r="AI129" s="83"/>
      <c r="AJ129" s="83"/>
      <c r="AK129" s="760"/>
      <c r="AL129" s="761"/>
      <c r="AM129" s="762" t="s">
        <v>56</v>
      </c>
      <c r="AN129" s="763"/>
      <c r="AO129" s="764"/>
      <c r="AP129" s="385"/>
      <c r="AQ129" s="133"/>
    </row>
    <row r="130" spans="1:43" s="134" customFormat="1" ht="19.899999999999999" customHeight="1">
      <c r="A130" s="385"/>
      <c r="B130" s="665" t="s">
        <v>57</v>
      </c>
      <c r="C130" s="730"/>
      <c r="D130" s="730"/>
      <c r="E130" s="730"/>
      <c r="F130" s="730"/>
      <c r="G130" s="730"/>
      <c r="H130" s="730"/>
      <c r="I130" s="731"/>
      <c r="J130" s="726"/>
      <c r="K130" s="727"/>
      <c r="L130" s="727"/>
      <c r="M130" s="727"/>
      <c r="N130" s="727"/>
      <c r="O130" s="727"/>
      <c r="P130" s="727"/>
      <c r="Q130" s="727"/>
      <c r="R130" s="727"/>
      <c r="S130" s="727"/>
      <c r="T130" s="727"/>
      <c r="U130" s="727"/>
      <c r="V130" s="727"/>
      <c r="W130" s="727"/>
      <c r="X130" s="727"/>
      <c r="Y130" s="727"/>
      <c r="Z130" s="727"/>
      <c r="AA130" s="727"/>
      <c r="AB130" s="728"/>
      <c r="AC130" s="729" t="s">
        <v>58</v>
      </c>
      <c r="AD130" s="730"/>
      <c r="AE130" s="730"/>
      <c r="AF130" s="730"/>
      <c r="AG130" s="730"/>
      <c r="AH130" s="731"/>
      <c r="AI130" s="732"/>
      <c r="AJ130" s="733"/>
      <c r="AK130" s="733"/>
      <c r="AL130" s="734"/>
      <c r="AM130" s="735" t="s">
        <v>59</v>
      </c>
      <c r="AN130" s="736"/>
      <c r="AO130" s="543" t="str">
        <f>PRESUPUESTO!D25</f>
        <v>ML</v>
      </c>
      <c r="AP130" s="385"/>
      <c r="AQ130" s="133"/>
    </row>
    <row r="131" spans="1:43" s="134" customFormat="1" ht="19.899999999999999" customHeight="1">
      <c r="A131" s="385"/>
      <c r="B131" s="668" t="s">
        <v>60</v>
      </c>
      <c r="C131" s="789"/>
      <c r="D131" s="789"/>
      <c r="E131" s="789"/>
      <c r="F131" s="789"/>
      <c r="G131" s="789"/>
      <c r="H131" s="789"/>
      <c r="I131" s="790"/>
      <c r="J131" s="669" t="str">
        <f>PRESUPUESTO!A24</f>
        <v>5.0 VARIOS</v>
      </c>
      <c r="K131" s="670"/>
      <c r="L131" s="670"/>
      <c r="M131" s="670"/>
      <c r="N131" s="670"/>
      <c r="O131" s="670"/>
      <c r="P131" s="670"/>
      <c r="Q131" s="670"/>
      <c r="R131" s="670"/>
      <c r="S131" s="670"/>
      <c r="T131" s="670"/>
      <c r="U131" s="670"/>
      <c r="V131" s="670"/>
      <c r="W131" s="670"/>
      <c r="X131" s="670"/>
      <c r="Y131" s="670"/>
      <c r="Z131" s="670"/>
      <c r="AA131" s="670"/>
      <c r="AB131" s="670"/>
      <c r="AC131" s="670"/>
      <c r="AD131" s="670"/>
      <c r="AE131" s="670"/>
      <c r="AF131" s="671"/>
      <c r="AG131" s="672"/>
      <c r="AH131" s="675" t="s">
        <v>61</v>
      </c>
      <c r="AI131" s="677" t="s">
        <v>62</v>
      </c>
      <c r="AJ131" s="795"/>
      <c r="AK131" s="796"/>
      <c r="AL131" s="678" t="s">
        <v>63</v>
      </c>
      <c r="AM131" s="678" t="s">
        <v>64</v>
      </c>
      <c r="AN131" s="679" t="s">
        <v>65</v>
      </c>
      <c r="AO131" s="721" t="s">
        <v>66</v>
      </c>
      <c r="AP131" s="385"/>
      <c r="AQ131" s="133"/>
    </row>
    <row r="132" spans="1:43" s="134" customFormat="1" ht="26.45" customHeight="1">
      <c r="A132" s="385"/>
      <c r="B132" s="766" t="s">
        <v>67</v>
      </c>
      <c r="C132" s="767"/>
      <c r="D132" s="767"/>
      <c r="E132" s="767"/>
      <c r="F132" s="767"/>
      <c r="G132" s="767"/>
      <c r="H132" s="767"/>
      <c r="I132" s="768"/>
      <c r="J132" s="799">
        <f>PRESUPUESTO!A25</f>
        <v>5.0999999999999996</v>
      </c>
      <c r="K132" s="800"/>
      <c r="L132" s="771" t="str">
        <f>PRESUPUESTO!C25</f>
        <v>SUMINISTRO E INSTALACION de cinta antideslizante</v>
      </c>
      <c r="M132" s="772"/>
      <c r="N132" s="772"/>
      <c r="O132" s="772"/>
      <c r="P132" s="772"/>
      <c r="Q132" s="772"/>
      <c r="R132" s="772"/>
      <c r="S132" s="772"/>
      <c r="T132" s="772"/>
      <c r="U132" s="772"/>
      <c r="V132" s="772"/>
      <c r="W132" s="772"/>
      <c r="X132" s="772"/>
      <c r="Y132" s="772"/>
      <c r="Z132" s="772"/>
      <c r="AA132" s="772"/>
      <c r="AB132" s="772"/>
      <c r="AC132" s="772"/>
      <c r="AD132" s="772"/>
      <c r="AE132" s="772"/>
      <c r="AF132" s="773"/>
      <c r="AG132" s="791"/>
      <c r="AH132" s="794"/>
      <c r="AI132" s="84" t="s">
        <v>68</v>
      </c>
      <c r="AJ132" s="84" t="s">
        <v>69</v>
      </c>
      <c r="AK132" s="84" t="s">
        <v>70</v>
      </c>
      <c r="AL132" s="797"/>
      <c r="AM132" s="797"/>
      <c r="AN132" s="798"/>
      <c r="AO132" s="765"/>
      <c r="AP132" s="385"/>
      <c r="AQ132" s="133"/>
    </row>
    <row r="133" spans="1:43" s="134" customFormat="1" ht="19.899999999999999" customHeight="1">
      <c r="A133" s="385"/>
      <c r="B133" s="85"/>
      <c r="C133" s="86"/>
      <c r="D133" s="86"/>
      <c r="E133" s="87"/>
      <c r="F133" s="88"/>
      <c r="G133" s="89"/>
      <c r="H133" s="89"/>
      <c r="I133" s="88"/>
      <c r="J133" s="90"/>
      <c r="K133" s="91"/>
      <c r="L133" s="91"/>
      <c r="M133" s="91"/>
      <c r="N133" s="91"/>
      <c r="O133" s="91"/>
      <c r="P133" s="91"/>
      <c r="Q133" s="91"/>
      <c r="R133" s="91"/>
      <c r="S133" s="91"/>
      <c r="T133" s="91"/>
      <c r="U133" s="91"/>
      <c r="V133" s="91"/>
      <c r="W133" s="89"/>
      <c r="X133" s="89"/>
      <c r="Y133" s="89"/>
      <c r="Z133" s="92"/>
      <c r="AA133" s="89"/>
      <c r="AB133" s="91"/>
      <c r="AC133" s="91"/>
      <c r="AD133" s="91"/>
      <c r="AE133" s="93"/>
      <c r="AF133" s="94"/>
      <c r="AG133" s="791"/>
      <c r="AH133" s="95"/>
      <c r="AI133" s="96"/>
      <c r="AJ133" s="96"/>
      <c r="AK133" s="96"/>
      <c r="AL133" s="96"/>
      <c r="AM133" s="96"/>
      <c r="AN133" s="97"/>
      <c r="AO133" s="98"/>
      <c r="AP133" s="385"/>
      <c r="AQ133" s="133"/>
    </row>
    <row r="134" spans="1:43" s="144" customFormat="1" ht="19.899999999999999" customHeight="1">
      <c r="A134" s="143"/>
      <c r="B134" s="99"/>
      <c r="C134" s="115"/>
      <c r="D134" s="115"/>
      <c r="E134" s="472"/>
      <c r="F134" s="473"/>
      <c r="G134" s="474"/>
      <c r="H134" s="474"/>
      <c r="I134" s="473"/>
      <c r="J134" s="475"/>
      <c r="K134" s="476"/>
      <c r="L134" s="476"/>
      <c r="M134" s="476"/>
      <c r="N134" s="476"/>
      <c r="O134" s="476"/>
      <c r="P134" s="476"/>
      <c r="Q134" s="476"/>
      <c r="R134" s="476"/>
      <c r="S134" s="476"/>
      <c r="T134" s="476"/>
      <c r="U134" s="476"/>
      <c r="V134" s="476"/>
      <c r="W134" s="474"/>
      <c r="X134" s="474"/>
      <c r="Y134" s="474"/>
      <c r="Z134" s="477"/>
      <c r="AA134" s="474"/>
      <c r="AB134" s="476"/>
      <c r="AC134" s="476"/>
      <c r="AD134" s="476"/>
      <c r="AE134" s="478"/>
      <c r="AF134" s="479"/>
      <c r="AG134" s="791"/>
      <c r="AH134" s="483"/>
      <c r="AI134" s="384">
        <f>(10.57/0.6)*5.97</f>
        <v>105.17149999999999</v>
      </c>
      <c r="AJ134" s="384"/>
      <c r="AK134" s="384"/>
      <c r="AL134" s="384"/>
      <c r="AM134" s="384">
        <v>1</v>
      </c>
      <c r="AN134" s="489" t="s">
        <v>74</v>
      </c>
      <c r="AO134" s="539">
        <f>AI134</f>
        <v>105.17149999999999</v>
      </c>
      <c r="AP134" s="143"/>
      <c r="AQ134" s="467"/>
    </row>
    <row r="135" spans="1:43" s="134" customFormat="1" ht="19.899999999999999" customHeight="1">
      <c r="A135" s="385"/>
      <c r="B135" s="99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39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40"/>
      <c r="AE135" s="115"/>
      <c r="AF135" s="100"/>
      <c r="AG135" s="792"/>
      <c r="AH135" s="141"/>
      <c r="AI135" s="145"/>
      <c r="AJ135" s="510"/>
      <c r="AK135" s="510"/>
      <c r="AL135" s="513"/>
      <c r="AM135" s="465"/>
      <c r="AN135" s="514"/>
      <c r="AO135" s="540"/>
      <c r="AP135" s="385"/>
      <c r="AQ135" s="133"/>
    </row>
    <row r="136" spans="1:43" s="134" customFormat="1" ht="19.899999999999999" customHeight="1">
      <c r="A136" s="385"/>
      <c r="B136" s="99"/>
      <c r="C136" s="115"/>
      <c r="D136" s="115"/>
      <c r="E136" s="115"/>
      <c r="F136" s="115"/>
      <c r="G136" s="115"/>
      <c r="H136" s="115"/>
      <c r="I136" s="115"/>
      <c r="J136" s="115"/>
      <c r="K136" s="115"/>
      <c r="L136" s="115"/>
      <c r="M136" s="115"/>
      <c r="N136" s="115"/>
      <c r="O136" s="139"/>
      <c r="P136" s="115"/>
      <c r="Q136" s="115"/>
      <c r="R136" s="115"/>
      <c r="S136" s="115"/>
      <c r="T136" s="115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40"/>
      <c r="AE136" s="115"/>
      <c r="AF136" s="100"/>
      <c r="AG136" s="792"/>
      <c r="AH136" s="141"/>
      <c r="AI136" s="145"/>
      <c r="AJ136" s="142"/>
      <c r="AK136" s="142"/>
      <c r="AL136" s="146"/>
      <c r="AM136" s="118"/>
      <c r="AN136" s="147"/>
      <c r="AO136" s="540"/>
      <c r="AP136" s="385"/>
      <c r="AQ136" s="133"/>
    </row>
    <row r="137" spans="1:43" s="134" customFormat="1" ht="19.899999999999999" customHeight="1">
      <c r="A137" s="385"/>
      <c r="B137" s="99"/>
      <c r="C137" s="115"/>
      <c r="D137" s="115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  <c r="O137" s="139"/>
      <c r="P137" s="115"/>
      <c r="Q137" s="115"/>
      <c r="R137" s="115"/>
      <c r="S137" s="115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40"/>
      <c r="AE137" s="115"/>
      <c r="AF137" s="100"/>
      <c r="AG137" s="791"/>
      <c r="AH137" s="148"/>
      <c r="AI137" s="120"/>
      <c r="AJ137" s="120"/>
      <c r="AK137" s="120"/>
      <c r="AL137" s="149"/>
      <c r="AM137" s="150"/>
      <c r="AN137" s="149"/>
      <c r="AO137" s="540"/>
      <c r="AP137" s="385"/>
      <c r="AQ137" s="133"/>
    </row>
    <row r="138" spans="1:43" s="134" customFormat="1" ht="19.899999999999999" customHeight="1">
      <c r="A138" s="385"/>
      <c r="B138" s="99"/>
      <c r="C138" s="115"/>
      <c r="D138" s="115"/>
      <c r="E138" s="115"/>
      <c r="F138" s="115"/>
      <c r="G138" s="115"/>
      <c r="H138" s="115"/>
      <c r="I138" s="115"/>
      <c r="J138" s="115"/>
      <c r="K138" s="115"/>
      <c r="L138" s="115"/>
      <c r="M138" s="115"/>
      <c r="N138" s="115"/>
      <c r="O138" s="139"/>
      <c r="P138" s="115"/>
      <c r="Q138" s="115"/>
      <c r="R138" s="115"/>
      <c r="S138" s="115"/>
      <c r="T138" s="115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40"/>
      <c r="AE138" s="115"/>
      <c r="AF138" s="100"/>
      <c r="AG138" s="791"/>
      <c r="AH138" s="95"/>
      <c r="AI138" s="114"/>
      <c r="AJ138" s="114"/>
      <c r="AK138" s="114"/>
      <c r="AL138" s="97"/>
      <c r="AM138" s="96"/>
      <c r="AN138" s="97"/>
      <c r="AO138" s="540"/>
      <c r="AP138" s="385"/>
      <c r="AQ138" s="133"/>
    </row>
    <row r="139" spans="1:43" s="134" customFormat="1" ht="19.899999999999999" customHeight="1">
      <c r="A139" s="385"/>
      <c r="B139" s="99"/>
      <c r="C139" s="115"/>
      <c r="D139" s="115"/>
      <c r="E139" s="115"/>
      <c r="F139" s="115"/>
      <c r="G139" s="115"/>
      <c r="H139" s="575"/>
      <c r="I139" s="115"/>
      <c r="J139" s="115"/>
      <c r="K139" s="115"/>
      <c r="L139" s="115"/>
      <c r="M139" s="115"/>
      <c r="N139" s="115"/>
      <c r="O139" s="115"/>
      <c r="P139" s="115"/>
      <c r="Q139" s="115"/>
      <c r="R139" s="115"/>
      <c r="S139" s="115"/>
      <c r="T139" s="115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40"/>
      <c r="AE139" s="115"/>
      <c r="AF139" s="100"/>
      <c r="AG139" s="791"/>
      <c r="AH139" s="95"/>
      <c r="AI139" s="114"/>
      <c r="AJ139" s="114"/>
      <c r="AK139" s="114"/>
      <c r="AL139" s="97"/>
      <c r="AM139" s="96"/>
      <c r="AN139" s="97"/>
      <c r="AO139" s="540"/>
      <c r="AP139" s="385"/>
      <c r="AQ139" s="133"/>
    </row>
    <row r="140" spans="1:43" s="134" customFormat="1" ht="19.899999999999999" customHeight="1">
      <c r="A140" s="385"/>
      <c r="B140" s="99"/>
      <c r="C140" s="115"/>
      <c r="D140" s="115"/>
      <c r="E140" s="115"/>
      <c r="F140" s="115"/>
      <c r="G140" s="115"/>
      <c r="H140" s="115"/>
      <c r="I140" s="115"/>
      <c r="J140" s="115"/>
      <c r="K140" s="115"/>
      <c r="L140" s="115"/>
      <c r="M140" s="115"/>
      <c r="N140" s="115"/>
      <c r="O140" s="115"/>
      <c r="P140" s="115"/>
      <c r="Q140" s="115"/>
      <c r="R140" s="115"/>
      <c r="S140" s="115"/>
      <c r="T140" s="115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40"/>
      <c r="AE140" s="115"/>
      <c r="AF140" s="100"/>
      <c r="AG140" s="791"/>
      <c r="AH140" s="95"/>
      <c r="AI140" s="104"/>
      <c r="AJ140" s="101"/>
      <c r="AK140" s="101"/>
      <c r="AL140" s="102"/>
      <c r="AM140" s="103"/>
      <c r="AN140" s="97"/>
      <c r="AO140" s="540"/>
      <c r="AP140" s="385"/>
      <c r="AQ140" s="133"/>
    </row>
    <row r="141" spans="1:43" s="134" customFormat="1" ht="19.899999999999999" customHeight="1">
      <c r="A141" s="385"/>
      <c r="B141" s="99"/>
      <c r="C141" s="115"/>
      <c r="D141" s="115"/>
      <c r="E141" s="115"/>
      <c r="F141" s="115"/>
      <c r="G141" s="115"/>
      <c r="H141" s="115"/>
      <c r="I141" s="115"/>
      <c r="J141" s="115"/>
      <c r="K141" s="115"/>
      <c r="L141" s="115"/>
      <c r="M141" s="115"/>
      <c r="N141" s="115"/>
      <c r="O141" s="115"/>
      <c r="P141" s="115"/>
      <c r="Q141" s="115"/>
      <c r="R141" s="115"/>
      <c r="S141" s="115"/>
      <c r="T141" s="115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40"/>
      <c r="AE141" s="115"/>
      <c r="AF141" s="100"/>
      <c r="AG141" s="791"/>
      <c r="AH141" s="95"/>
      <c r="AI141" s="104"/>
      <c r="AJ141" s="101"/>
      <c r="AK141" s="101"/>
      <c r="AL141" s="102"/>
      <c r="AM141" s="103"/>
      <c r="AN141" s="97"/>
      <c r="AO141" s="540"/>
      <c r="AP141" s="385"/>
      <c r="AQ141" s="133"/>
    </row>
    <row r="142" spans="1:43" s="134" customFormat="1" ht="19.899999999999999" customHeight="1">
      <c r="A142" s="385"/>
      <c r="B142" s="580"/>
      <c r="AG142" s="791"/>
      <c r="AH142" s="95"/>
      <c r="AI142" s="104"/>
      <c r="AJ142" s="101"/>
      <c r="AK142" s="101"/>
      <c r="AL142" s="97"/>
      <c r="AM142" s="105"/>
      <c r="AN142" s="97"/>
      <c r="AO142" s="540"/>
      <c r="AP142" s="385"/>
      <c r="AQ142" s="133"/>
    </row>
    <row r="143" spans="1:43" s="134" customFormat="1" ht="19.899999999999999" customHeight="1">
      <c r="A143" s="385"/>
      <c r="B143" s="580"/>
      <c r="AG143" s="791"/>
      <c r="AH143" s="95"/>
      <c r="AI143" s="104"/>
      <c r="AJ143" s="101"/>
      <c r="AK143" s="101"/>
      <c r="AL143" s="97"/>
      <c r="AM143" s="106"/>
      <c r="AN143" s="97"/>
      <c r="AO143" s="540"/>
      <c r="AP143" s="385"/>
      <c r="AQ143" s="133"/>
    </row>
    <row r="144" spans="1:43" s="134" customFormat="1" ht="19.899999999999999" customHeight="1">
      <c r="A144" s="385"/>
      <c r="B144" s="774" t="s">
        <v>73</v>
      </c>
      <c r="C144" s="775"/>
      <c r="D144" s="775"/>
      <c r="E144" s="775"/>
      <c r="F144" s="775"/>
      <c r="G144" s="775"/>
      <c r="H144" s="775"/>
      <c r="I144" s="775"/>
      <c r="J144" s="775"/>
      <c r="K144" s="775"/>
      <c r="L144" s="775"/>
      <c r="M144" s="775"/>
      <c r="N144" s="775"/>
      <c r="O144" s="775"/>
      <c r="P144" s="775"/>
      <c r="Q144" s="775"/>
      <c r="R144" s="775"/>
      <c r="S144" s="775"/>
      <c r="T144" s="775"/>
      <c r="U144" s="775"/>
      <c r="V144" s="775"/>
      <c r="W144" s="775"/>
      <c r="X144" s="775"/>
      <c r="Y144" s="775"/>
      <c r="Z144" s="775"/>
      <c r="AA144" s="775"/>
      <c r="AB144" s="775"/>
      <c r="AC144" s="775"/>
      <c r="AD144" s="775"/>
      <c r="AE144" s="775"/>
      <c r="AF144" s="776"/>
      <c r="AG144" s="791"/>
      <c r="AH144" s="95"/>
      <c r="AI144" s="97"/>
      <c r="AJ144" s="101"/>
      <c r="AK144" s="101"/>
      <c r="AL144" s="97"/>
      <c r="AM144" s="106"/>
      <c r="AN144" s="97"/>
      <c r="AO144" s="540"/>
      <c r="AP144" s="385"/>
      <c r="AQ144" s="133"/>
    </row>
    <row r="145" spans="1:43" s="134" customFormat="1" ht="19.899999999999999" customHeight="1" thickBot="1">
      <c r="A145" s="385"/>
      <c r="B145" s="777"/>
      <c r="C145" s="778"/>
      <c r="D145" s="778"/>
      <c r="E145" s="778"/>
      <c r="F145" s="778"/>
      <c r="G145" s="778"/>
      <c r="H145" s="778"/>
      <c r="I145" s="778"/>
      <c r="J145" s="778"/>
      <c r="K145" s="778"/>
      <c r="L145" s="778"/>
      <c r="M145" s="778"/>
      <c r="N145" s="778"/>
      <c r="O145" s="778"/>
      <c r="P145" s="778"/>
      <c r="Q145" s="778"/>
      <c r="R145" s="778"/>
      <c r="S145" s="778"/>
      <c r="T145" s="778"/>
      <c r="U145" s="778"/>
      <c r="V145" s="778"/>
      <c r="W145" s="778"/>
      <c r="X145" s="778"/>
      <c r="Y145" s="778"/>
      <c r="Z145" s="778"/>
      <c r="AA145" s="778"/>
      <c r="AB145" s="778"/>
      <c r="AC145" s="778"/>
      <c r="AD145" s="778"/>
      <c r="AE145" s="778"/>
      <c r="AF145" s="779"/>
      <c r="AG145" s="793"/>
      <c r="AH145" s="108"/>
      <c r="AI145" s="109"/>
      <c r="AJ145" s="110"/>
      <c r="AK145" s="110"/>
      <c r="AL145" s="109"/>
      <c r="AM145" s="136">
        <f>+J132</f>
        <v>5.0999999999999996</v>
      </c>
      <c r="AN145" s="137" t="s">
        <v>66</v>
      </c>
      <c r="AO145" s="541">
        <f>SUM(AO133:AO144)</f>
        <v>105.17149999999999</v>
      </c>
      <c r="AP145" s="385"/>
      <c r="AQ145" s="133"/>
    </row>
    <row r="146" spans="1:43" s="134" customFormat="1" ht="15" customHeight="1">
      <c r="A146" s="386"/>
      <c r="AP146" s="386"/>
    </row>
    <row r="147" spans="1:43" s="134" customFormat="1" ht="15" customHeight="1">
      <c r="A147" s="386"/>
      <c r="AP147" s="386"/>
    </row>
    <row r="148" spans="1:43" s="134" customFormat="1" ht="15" customHeight="1">
      <c r="A148" s="386"/>
      <c r="AP148" s="386"/>
    </row>
    <row r="149" spans="1:43" s="134" customFormat="1" ht="15" customHeight="1" thickBot="1">
      <c r="A149" s="386"/>
      <c r="AP149" s="386"/>
    </row>
    <row r="150" spans="1:43" s="134" customFormat="1" ht="19.899999999999999" customHeight="1">
      <c r="A150" s="385"/>
      <c r="B150" s="737" t="s">
        <v>50</v>
      </c>
      <c r="C150" s="738"/>
      <c r="D150" s="738"/>
      <c r="E150" s="738"/>
      <c r="F150" s="738"/>
      <c r="G150" s="738"/>
      <c r="H150" s="739"/>
      <c r="I150" s="743" t="str">
        <f>+PRESUPUESTO!$A$1</f>
        <v>" MEJORAMIENTO, ADECUACIÓN MENOR Y MANTENIMIENTO DE LA INFRAESTRUCTURA DE LAS INSTITUCIONES EDUCATIVAS URBANAS Y RURALES DEL MUNICIPIO DE SAN JOSÉ DE CÚCUTA"</v>
      </c>
      <c r="J150" s="744"/>
      <c r="K150" s="744"/>
      <c r="L150" s="744"/>
      <c r="M150" s="744"/>
      <c r="N150" s="744"/>
      <c r="O150" s="744"/>
      <c r="P150" s="744"/>
      <c r="Q150" s="744"/>
      <c r="R150" s="744"/>
      <c r="S150" s="744"/>
      <c r="T150" s="744"/>
      <c r="U150" s="744"/>
      <c r="V150" s="744"/>
      <c r="W150" s="744"/>
      <c r="X150" s="744"/>
      <c r="Y150" s="744"/>
      <c r="Z150" s="744"/>
      <c r="AA150" s="744"/>
      <c r="AB150" s="745"/>
      <c r="AC150" s="749" t="s">
        <v>51</v>
      </c>
      <c r="AD150" s="750"/>
      <c r="AE150" s="750"/>
      <c r="AF150" s="750"/>
      <c r="AG150" s="750"/>
      <c r="AH150" s="751"/>
      <c r="AI150" s="138" t="s">
        <v>52</v>
      </c>
      <c r="AJ150" s="138" t="s">
        <v>53</v>
      </c>
      <c r="AK150" s="755" t="s">
        <v>54</v>
      </c>
      <c r="AL150" s="756"/>
      <c r="AM150" s="757" t="s">
        <v>55</v>
      </c>
      <c r="AN150" s="758"/>
      <c r="AO150" s="759"/>
      <c r="AP150" s="385"/>
      <c r="AQ150" s="133"/>
    </row>
    <row r="151" spans="1:43" s="134" customFormat="1" ht="19.899999999999999" customHeight="1">
      <c r="A151" s="385"/>
      <c r="B151" s="740"/>
      <c r="C151" s="741"/>
      <c r="D151" s="741"/>
      <c r="E151" s="741"/>
      <c r="F151" s="741"/>
      <c r="G151" s="741"/>
      <c r="H151" s="742"/>
      <c r="I151" s="746"/>
      <c r="J151" s="747"/>
      <c r="K151" s="747"/>
      <c r="L151" s="747"/>
      <c r="M151" s="747"/>
      <c r="N151" s="747"/>
      <c r="O151" s="747"/>
      <c r="P151" s="747"/>
      <c r="Q151" s="747"/>
      <c r="R151" s="747"/>
      <c r="S151" s="747"/>
      <c r="T151" s="747"/>
      <c r="U151" s="747"/>
      <c r="V151" s="747"/>
      <c r="W151" s="747"/>
      <c r="X151" s="747"/>
      <c r="Y151" s="747"/>
      <c r="Z151" s="747"/>
      <c r="AA151" s="747"/>
      <c r="AB151" s="748"/>
      <c r="AC151" s="752"/>
      <c r="AD151" s="753"/>
      <c r="AE151" s="753"/>
      <c r="AF151" s="753"/>
      <c r="AG151" s="753"/>
      <c r="AH151" s="754"/>
      <c r="AI151" s="83"/>
      <c r="AJ151" s="83"/>
      <c r="AK151" s="760"/>
      <c r="AL151" s="761"/>
      <c r="AM151" s="762" t="s">
        <v>56</v>
      </c>
      <c r="AN151" s="763"/>
      <c r="AO151" s="764"/>
      <c r="AP151" s="385"/>
      <c r="AQ151" s="133"/>
    </row>
    <row r="152" spans="1:43" s="134" customFormat="1" ht="19.899999999999999" customHeight="1">
      <c r="A152" s="385"/>
      <c r="B152" s="665" t="s">
        <v>57</v>
      </c>
      <c r="C152" s="730"/>
      <c r="D152" s="730"/>
      <c r="E152" s="730"/>
      <c r="F152" s="730"/>
      <c r="G152" s="730"/>
      <c r="H152" s="730"/>
      <c r="I152" s="731"/>
      <c r="J152" s="726"/>
      <c r="K152" s="727"/>
      <c r="L152" s="727"/>
      <c r="M152" s="727"/>
      <c r="N152" s="727"/>
      <c r="O152" s="727"/>
      <c r="P152" s="727"/>
      <c r="Q152" s="727"/>
      <c r="R152" s="727"/>
      <c r="S152" s="727"/>
      <c r="T152" s="727"/>
      <c r="U152" s="727"/>
      <c r="V152" s="727"/>
      <c r="W152" s="727"/>
      <c r="X152" s="727"/>
      <c r="Y152" s="727"/>
      <c r="Z152" s="727"/>
      <c r="AA152" s="727"/>
      <c r="AB152" s="728"/>
      <c r="AC152" s="729" t="s">
        <v>58</v>
      </c>
      <c r="AD152" s="730"/>
      <c r="AE152" s="730"/>
      <c r="AF152" s="730"/>
      <c r="AG152" s="730"/>
      <c r="AH152" s="731"/>
      <c r="AI152" s="732"/>
      <c r="AJ152" s="733"/>
      <c r="AK152" s="733"/>
      <c r="AL152" s="734"/>
      <c r="AM152" s="735" t="s">
        <v>59</v>
      </c>
      <c r="AN152" s="736"/>
      <c r="AO152" s="543" t="str">
        <f>PRESUPUESTO!D26</f>
        <v>M2</v>
      </c>
      <c r="AP152" s="385"/>
      <c r="AQ152" s="133"/>
    </row>
    <row r="153" spans="1:43" s="134" customFormat="1" ht="19.899999999999999" customHeight="1">
      <c r="A153" s="385"/>
      <c r="B153" s="668" t="s">
        <v>60</v>
      </c>
      <c r="C153" s="789"/>
      <c r="D153" s="789"/>
      <c r="E153" s="789"/>
      <c r="F153" s="789"/>
      <c r="G153" s="789"/>
      <c r="H153" s="789"/>
      <c r="I153" s="790"/>
      <c r="J153" s="669" t="str">
        <f>PRESUPUESTO!A24</f>
        <v>5.0 VARIOS</v>
      </c>
      <c r="K153" s="670"/>
      <c r="L153" s="670"/>
      <c r="M153" s="670"/>
      <c r="N153" s="670"/>
      <c r="O153" s="670"/>
      <c r="P153" s="670"/>
      <c r="Q153" s="670"/>
      <c r="R153" s="670"/>
      <c r="S153" s="670"/>
      <c r="T153" s="670"/>
      <c r="U153" s="670"/>
      <c r="V153" s="670"/>
      <c r="W153" s="670"/>
      <c r="X153" s="670"/>
      <c r="Y153" s="670"/>
      <c r="Z153" s="670"/>
      <c r="AA153" s="670"/>
      <c r="AB153" s="670"/>
      <c r="AC153" s="670"/>
      <c r="AD153" s="670"/>
      <c r="AE153" s="670"/>
      <c r="AF153" s="671"/>
      <c r="AG153" s="672"/>
      <c r="AH153" s="675" t="s">
        <v>61</v>
      </c>
      <c r="AI153" s="677" t="s">
        <v>62</v>
      </c>
      <c r="AJ153" s="795"/>
      <c r="AK153" s="796"/>
      <c r="AL153" s="678" t="s">
        <v>63</v>
      </c>
      <c r="AM153" s="678" t="s">
        <v>64</v>
      </c>
      <c r="AN153" s="679" t="s">
        <v>65</v>
      </c>
      <c r="AO153" s="721" t="s">
        <v>66</v>
      </c>
      <c r="AP153" s="385"/>
      <c r="AQ153" s="133"/>
    </row>
    <row r="154" spans="1:43" s="134" customFormat="1" ht="26.45" customHeight="1">
      <c r="A154" s="385"/>
      <c r="B154" s="766" t="s">
        <v>67</v>
      </c>
      <c r="C154" s="767"/>
      <c r="D154" s="767"/>
      <c r="E154" s="767"/>
      <c r="F154" s="767"/>
      <c r="G154" s="767"/>
      <c r="H154" s="767"/>
      <c r="I154" s="768"/>
      <c r="J154" s="799">
        <f>PRESUPUESTO!A26</f>
        <v>5.2</v>
      </c>
      <c r="K154" s="800"/>
      <c r="L154" s="771" t="str">
        <f>PRESUPUESTO!C26</f>
        <v>ASEO GENERAL Y LIMPIEZA EN SUS ALREDEDORES Y AREAS INTERVENIDAS (Incluye pisos y muros de aulas, pasillos y zona de exparcimiento)</v>
      </c>
      <c r="M154" s="772"/>
      <c r="N154" s="772"/>
      <c r="O154" s="772"/>
      <c r="P154" s="772"/>
      <c r="Q154" s="772"/>
      <c r="R154" s="772"/>
      <c r="S154" s="772"/>
      <c r="T154" s="772"/>
      <c r="U154" s="772"/>
      <c r="V154" s="772"/>
      <c r="W154" s="772"/>
      <c r="X154" s="772"/>
      <c r="Y154" s="772"/>
      <c r="Z154" s="772"/>
      <c r="AA154" s="772"/>
      <c r="AB154" s="772"/>
      <c r="AC154" s="772"/>
      <c r="AD154" s="772"/>
      <c r="AE154" s="772"/>
      <c r="AF154" s="773"/>
      <c r="AG154" s="791"/>
      <c r="AH154" s="794"/>
      <c r="AI154" s="84" t="s">
        <v>68</v>
      </c>
      <c r="AJ154" s="84" t="s">
        <v>69</v>
      </c>
      <c r="AK154" s="84" t="s">
        <v>70</v>
      </c>
      <c r="AL154" s="797"/>
      <c r="AM154" s="797"/>
      <c r="AN154" s="798"/>
      <c r="AO154" s="765"/>
      <c r="AP154" s="385"/>
      <c r="AQ154" s="133"/>
    </row>
    <row r="155" spans="1:43" s="134" customFormat="1" ht="19.899999999999999" customHeight="1">
      <c r="A155" s="385"/>
      <c r="B155" s="85"/>
      <c r="C155" s="86"/>
      <c r="D155" s="86"/>
      <c r="E155" s="87"/>
      <c r="F155" s="88"/>
      <c r="G155" s="89"/>
      <c r="H155" s="89"/>
      <c r="I155" s="88"/>
      <c r="J155" s="90"/>
      <c r="K155" s="91"/>
      <c r="L155" s="91"/>
      <c r="M155" s="91"/>
      <c r="N155" s="91"/>
      <c r="O155" s="91"/>
      <c r="P155" s="91"/>
      <c r="Q155" s="91"/>
      <c r="R155" s="91"/>
      <c r="S155" s="91"/>
      <c r="T155" s="91"/>
      <c r="U155" s="91"/>
      <c r="V155" s="91"/>
      <c r="W155" s="89"/>
      <c r="X155" s="89"/>
      <c r="Y155" s="89"/>
      <c r="Z155" s="92"/>
      <c r="AA155" s="89"/>
      <c r="AB155" s="91"/>
      <c r="AC155" s="91"/>
      <c r="AD155" s="91"/>
      <c r="AE155" s="93"/>
      <c r="AF155" s="94"/>
      <c r="AG155" s="791"/>
      <c r="AH155" s="95"/>
      <c r="AI155" s="96"/>
      <c r="AJ155" s="96"/>
      <c r="AK155" s="96"/>
      <c r="AL155" s="96"/>
      <c r="AM155" s="96"/>
      <c r="AN155" s="97"/>
      <c r="AO155" s="98"/>
      <c r="AP155" s="385"/>
      <c r="AQ155" s="133"/>
    </row>
    <row r="156" spans="1:43" s="144" customFormat="1" ht="19.899999999999999" customHeight="1">
      <c r="A156" s="143"/>
      <c r="B156" s="99"/>
      <c r="C156" s="115"/>
      <c r="D156" s="115"/>
      <c r="E156" s="472"/>
      <c r="F156" s="473"/>
      <c r="G156" s="474"/>
      <c r="H156" s="474"/>
      <c r="I156" s="473"/>
      <c r="J156" s="475"/>
      <c r="K156" s="476"/>
      <c r="L156" s="476"/>
      <c r="M156" s="476"/>
      <c r="N156" s="476"/>
      <c r="O156" s="476"/>
      <c r="P156" s="476"/>
      <c r="Q156" s="476"/>
      <c r="R156" s="476"/>
      <c r="S156" s="476"/>
      <c r="T156" s="476"/>
      <c r="U156" s="476"/>
      <c r="V156" s="476"/>
      <c r="W156" s="474"/>
      <c r="X156" s="474"/>
      <c r="Y156" s="474"/>
      <c r="Z156" s="477"/>
      <c r="AA156" s="474"/>
      <c r="AB156" s="476"/>
      <c r="AC156" s="476"/>
      <c r="AD156" s="476"/>
      <c r="AE156" s="478"/>
      <c r="AF156" s="479"/>
      <c r="AG156" s="791"/>
      <c r="AH156" s="483"/>
      <c r="AI156" s="384"/>
      <c r="AJ156" s="384"/>
      <c r="AK156" s="384"/>
      <c r="AL156" s="384">
        <v>480</v>
      </c>
      <c r="AM156" s="384"/>
      <c r="AN156" s="489" t="s">
        <v>74</v>
      </c>
      <c r="AO156" s="119">
        <f>AL156</f>
        <v>480</v>
      </c>
      <c r="AP156" s="143"/>
      <c r="AQ156" s="467"/>
    </row>
    <row r="157" spans="1:43" s="134" customFormat="1" ht="19.899999999999999" customHeight="1">
      <c r="A157" s="385"/>
      <c r="B157" s="99"/>
      <c r="C157" s="115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39"/>
      <c r="P157" s="115"/>
      <c r="Q157" s="115"/>
      <c r="R157" s="115"/>
      <c r="S157" s="115"/>
      <c r="T157" s="115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40"/>
      <c r="AE157" s="115"/>
      <c r="AF157" s="100"/>
      <c r="AG157" s="792"/>
      <c r="AH157" s="141"/>
      <c r="AI157" s="145"/>
      <c r="AJ157" s="510"/>
      <c r="AK157" s="510"/>
      <c r="AL157" s="513"/>
      <c r="AM157" s="465"/>
      <c r="AN157" s="514"/>
      <c r="AO157" s="397"/>
      <c r="AP157" s="385"/>
      <c r="AQ157" s="133"/>
    </row>
    <row r="158" spans="1:43" s="134" customFormat="1" ht="19.899999999999999" customHeight="1">
      <c r="A158" s="385"/>
      <c r="B158" s="99"/>
      <c r="C158" s="115"/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  <c r="O158" s="139"/>
      <c r="P158" s="115"/>
      <c r="Q158" s="115"/>
      <c r="R158" s="115"/>
      <c r="S158" s="115"/>
      <c r="T158" s="115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40"/>
      <c r="AE158" s="115"/>
      <c r="AF158" s="100"/>
      <c r="AG158" s="792"/>
      <c r="AH158" s="141"/>
      <c r="AI158" s="145"/>
      <c r="AJ158" s="142"/>
      <c r="AK158" s="142"/>
      <c r="AL158" s="146"/>
      <c r="AM158" s="118"/>
      <c r="AN158" s="147"/>
      <c r="AO158" s="98"/>
      <c r="AP158" s="385"/>
      <c r="AQ158" s="133"/>
    </row>
    <row r="159" spans="1:43" s="134" customFormat="1" ht="19.899999999999999" customHeight="1">
      <c r="A159" s="385"/>
      <c r="B159" s="99"/>
      <c r="C159" s="115"/>
      <c r="D159" s="115"/>
      <c r="E159" s="115"/>
      <c r="F159" s="115"/>
      <c r="G159" s="115"/>
      <c r="H159" s="115"/>
      <c r="I159" s="115"/>
      <c r="J159" s="115"/>
      <c r="K159" s="115"/>
      <c r="L159" s="115"/>
      <c r="M159" s="115"/>
      <c r="N159" s="115"/>
      <c r="O159" s="139"/>
      <c r="P159" s="115"/>
      <c r="Q159" s="115"/>
      <c r="R159" s="115"/>
      <c r="S159" s="115"/>
      <c r="T159" s="115"/>
      <c r="U159" s="115"/>
      <c r="V159" s="115"/>
      <c r="W159" s="115"/>
      <c r="X159" s="115"/>
      <c r="Y159" s="115"/>
      <c r="Z159" s="115"/>
      <c r="AA159" s="115"/>
      <c r="AB159" s="115"/>
      <c r="AC159" s="115"/>
      <c r="AD159" s="140"/>
      <c r="AE159" s="115"/>
      <c r="AF159" s="100"/>
      <c r="AG159" s="791"/>
      <c r="AH159" s="148"/>
      <c r="AI159" s="120"/>
      <c r="AJ159" s="120"/>
      <c r="AK159" s="120"/>
      <c r="AL159" s="149"/>
      <c r="AM159" s="150"/>
      <c r="AN159" s="149"/>
      <c r="AO159" s="397"/>
      <c r="AP159" s="385"/>
      <c r="AQ159" s="133"/>
    </row>
    <row r="160" spans="1:43" s="134" customFormat="1" ht="19.899999999999999" customHeight="1">
      <c r="A160" s="385"/>
      <c r="B160" s="99"/>
      <c r="C160" s="115"/>
      <c r="D160" s="115"/>
      <c r="E160" s="115"/>
      <c r="F160" s="115"/>
      <c r="G160" s="115"/>
      <c r="H160" s="115"/>
      <c r="I160" s="115"/>
      <c r="J160" s="115"/>
      <c r="K160" s="115"/>
      <c r="L160" s="115"/>
      <c r="M160" s="115"/>
      <c r="N160" s="115"/>
      <c r="O160" s="139"/>
      <c r="P160" s="115"/>
      <c r="Q160" s="115"/>
      <c r="R160" s="115"/>
      <c r="S160" s="115"/>
      <c r="T160" s="115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40"/>
      <c r="AE160" s="115"/>
      <c r="AF160" s="100"/>
      <c r="AG160" s="791"/>
      <c r="AH160" s="95"/>
      <c r="AI160" s="114"/>
      <c r="AJ160" s="114"/>
      <c r="AK160" s="114"/>
      <c r="AL160" s="97"/>
      <c r="AM160" s="96"/>
      <c r="AN160" s="97"/>
      <c r="AO160" s="98"/>
      <c r="AP160" s="385"/>
      <c r="AQ160" s="133"/>
    </row>
    <row r="161" spans="1:43" s="134" customFormat="1" ht="19.899999999999999" customHeight="1">
      <c r="A161" s="385"/>
      <c r="B161" s="99"/>
      <c r="C161" s="115"/>
      <c r="D161" s="115"/>
      <c r="E161" s="115"/>
      <c r="F161" s="115"/>
      <c r="G161" s="115"/>
      <c r="H161" s="575"/>
      <c r="I161" s="115"/>
      <c r="J161" s="115"/>
      <c r="K161" s="115"/>
      <c r="L161" s="115"/>
      <c r="M161" s="115"/>
      <c r="N161" s="115"/>
      <c r="O161" s="115"/>
      <c r="P161" s="115"/>
      <c r="Q161" s="115"/>
      <c r="R161" s="115"/>
      <c r="S161" s="115"/>
      <c r="T161" s="115"/>
      <c r="U161" s="115"/>
      <c r="V161" s="115"/>
      <c r="W161" s="115"/>
      <c r="X161" s="115"/>
      <c r="Y161" s="115"/>
      <c r="Z161" s="115"/>
      <c r="AA161" s="115"/>
      <c r="AB161" s="115"/>
      <c r="AC161" s="115"/>
      <c r="AD161" s="140"/>
      <c r="AE161" s="115"/>
      <c r="AF161" s="100"/>
      <c r="AG161" s="791"/>
      <c r="AH161" s="95"/>
      <c r="AI161" s="114"/>
      <c r="AJ161" s="114"/>
      <c r="AK161" s="114"/>
      <c r="AL161" s="97"/>
      <c r="AM161" s="96"/>
      <c r="AN161" s="97"/>
      <c r="AO161" s="397"/>
      <c r="AP161" s="385"/>
      <c r="AQ161" s="133"/>
    </row>
    <row r="162" spans="1:43" s="134" customFormat="1" ht="19.899999999999999" customHeight="1">
      <c r="A162" s="385"/>
      <c r="B162" s="99"/>
      <c r="C162" s="115"/>
      <c r="D162" s="115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5"/>
      <c r="S162" s="115"/>
      <c r="T162" s="115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40"/>
      <c r="AE162" s="115"/>
      <c r="AF162" s="100"/>
      <c r="AG162" s="791"/>
      <c r="AH162" s="95"/>
      <c r="AI162" s="104"/>
      <c r="AJ162" s="101"/>
      <c r="AK162" s="101"/>
      <c r="AL162" s="102"/>
      <c r="AM162" s="103"/>
      <c r="AN162" s="97"/>
      <c r="AO162" s="98"/>
      <c r="AP162" s="385"/>
      <c r="AQ162" s="133"/>
    </row>
    <row r="163" spans="1:43" s="134" customFormat="1" ht="19.899999999999999" customHeight="1">
      <c r="A163" s="385"/>
      <c r="B163" s="99"/>
      <c r="C163" s="115"/>
      <c r="D163" s="115"/>
      <c r="E163" s="115"/>
      <c r="F163" s="115"/>
      <c r="G163" s="115"/>
      <c r="H163" s="115"/>
      <c r="I163" s="115"/>
      <c r="J163" s="115"/>
      <c r="K163" s="115"/>
      <c r="L163" s="115"/>
      <c r="M163" s="115"/>
      <c r="N163" s="115"/>
      <c r="O163" s="115"/>
      <c r="P163" s="115"/>
      <c r="Q163" s="115"/>
      <c r="R163" s="115"/>
      <c r="S163" s="115"/>
      <c r="T163" s="115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40"/>
      <c r="AE163" s="115"/>
      <c r="AF163" s="100"/>
      <c r="AG163" s="791"/>
      <c r="AH163" s="95"/>
      <c r="AI163" s="104"/>
      <c r="AJ163" s="101"/>
      <c r="AK163" s="101"/>
      <c r="AL163" s="102"/>
      <c r="AM163" s="103"/>
      <c r="AN163" s="97"/>
      <c r="AO163" s="98"/>
      <c r="AP163" s="385"/>
      <c r="AQ163" s="133"/>
    </row>
    <row r="164" spans="1:43" s="134" customFormat="1" ht="19.899999999999999" customHeight="1">
      <c r="A164" s="385"/>
      <c r="B164" s="580"/>
      <c r="AG164" s="791"/>
      <c r="AH164" s="95"/>
      <c r="AI164" s="104"/>
      <c r="AJ164" s="101"/>
      <c r="AK164" s="101"/>
      <c r="AL164" s="97"/>
      <c r="AM164" s="105"/>
      <c r="AN164" s="97"/>
      <c r="AO164" s="98"/>
      <c r="AP164" s="385"/>
      <c r="AQ164" s="133"/>
    </row>
    <row r="165" spans="1:43" s="134" customFormat="1" ht="19.899999999999999" customHeight="1">
      <c r="A165" s="385"/>
      <c r="B165" s="580"/>
      <c r="AG165" s="791"/>
      <c r="AH165" s="95"/>
      <c r="AI165" s="104"/>
      <c r="AJ165" s="101"/>
      <c r="AK165" s="101"/>
      <c r="AL165" s="97"/>
      <c r="AM165" s="106"/>
      <c r="AN165" s="97"/>
      <c r="AO165" s="98"/>
      <c r="AP165" s="385"/>
      <c r="AQ165" s="133"/>
    </row>
    <row r="166" spans="1:43" s="134" customFormat="1" ht="19.899999999999999" customHeight="1">
      <c r="A166" s="385"/>
      <c r="B166" s="774" t="s">
        <v>73</v>
      </c>
      <c r="C166" s="775"/>
      <c r="D166" s="775"/>
      <c r="E166" s="775"/>
      <c r="F166" s="775"/>
      <c r="G166" s="775"/>
      <c r="H166" s="775"/>
      <c r="I166" s="775"/>
      <c r="J166" s="775"/>
      <c r="K166" s="775"/>
      <c r="L166" s="775"/>
      <c r="M166" s="775"/>
      <c r="N166" s="775"/>
      <c r="O166" s="775"/>
      <c r="P166" s="775"/>
      <c r="Q166" s="775"/>
      <c r="R166" s="775"/>
      <c r="S166" s="775"/>
      <c r="T166" s="775"/>
      <c r="U166" s="775"/>
      <c r="V166" s="775"/>
      <c r="W166" s="775"/>
      <c r="X166" s="775"/>
      <c r="Y166" s="775"/>
      <c r="Z166" s="775"/>
      <c r="AA166" s="775"/>
      <c r="AB166" s="775"/>
      <c r="AC166" s="775"/>
      <c r="AD166" s="775"/>
      <c r="AE166" s="775"/>
      <c r="AF166" s="776"/>
      <c r="AG166" s="791"/>
      <c r="AH166" s="95"/>
      <c r="AI166" s="97"/>
      <c r="AJ166" s="101"/>
      <c r="AK166" s="101"/>
      <c r="AL166" s="97"/>
      <c r="AM166" s="106"/>
      <c r="AN166" s="97"/>
      <c r="AO166" s="107"/>
      <c r="AP166" s="385"/>
      <c r="AQ166" s="133"/>
    </row>
    <row r="167" spans="1:43" s="134" customFormat="1" ht="19.899999999999999" customHeight="1" thickBot="1">
      <c r="A167" s="385"/>
      <c r="B167" s="777"/>
      <c r="C167" s="778"/>
      <c r="D167" s="778"/>
      <c r="E167" s="778"/>
      <c r="F167" s="778"/>
      <c r="G167" s="778"/>
      <c r="H167" s="778"/>
      <c r="I167" s="778"/>
      <c r="J167" s="778"/>
      <c r="K167" s="778"/>
      <c r="L167" s="778"/>
      <c r="M167" s="778"/>
      <c r="N167" s="778"/>
      <c r="O167" s="778"/>
      <c r="P167" s="778"/>
      <c r="Q167" s="778"/>
      <c r="R167" s="778"/>
      <c r="S167" s="778"/>
      <c r="T167" s="778"/>
      <c r="U167" s="778"/>
      <c r="V167" s="778"/>
      <c r="W167" s="778"/>
      <c r="X167" s="778"/>
      <c r="Y167" s="778"/>
      <c r="Z167" s="778"/>
      <c r="AA167" s="778"/>
      <c r="AB167" s="778"/>
      <c r="AC167" s="778"/>
      <c r="AD167" s="778"/>
      <c r="AE167" s="778"/>
      <c r="AF167" s="779"/>
      <c r="AG167" s="793"/>
      <c r="AH167" s="108"/>
      <c r="AI167" s="109"/>
      <c r="AJ167" s="110"/>
      <c r="AK167" s="110"/>
      <c r="AL167" s="109"/>
      <c r="AM167" s="136">
        <f>+J154</f>
        <v>5.2</v>
      </c>
      <c r="AN167" s="137" t="s">
        <v>66</v>
      </c>
      <c r="AO167" s="116">
        <f>SUM(AO155:AO166)</f>
        <v>480</v>
      </c>
      <c r="AP167" s="385"/>
      <c r="AQ167" s="133"/>
    </row>
    <row r="168" spans="1:43" s="134" customFormat="1" ht="15" customHeight="1">
      <c r="A168" s="386"/>
      <c r="AP168" s="386"/>
    </row>
    <row r="169" spans="1:43" s="134" customFormat="1" ht="15" customHeight="1">
      <c r="A169" s="386"/>
      <c r="AP169" s="386"/>
    </row>
    <row r="170" spans="1:43" s="134" customFormat="1" ht="15" customHeight="1">
      <c r="A170" s="386"/>
      <c r="AP170" s="386"/>
    </row>
    <row r="171" spans="1:43" s="134" customFormat="1" ht="15" customHeight="1">
      <c r="A171" s="386"/>
      <c r="AP171" s="386"/>
    </row>
    <row r="172" spans="1:43" s="134" customFormat="1" ht="15" customHeight="1">
      <c r="A172" s="386"/>
      <c r="AP172" s="386"/>
    </row>
    <row r="173" spans="1:43" s="134" customFormat="1" ht="15" customHeight="1">
      <c r="A173" s="386"/>
      <c r="AP173" s="386"/>
    </row>
    <row r="174" spans="1:43" s="134" customFormat="1" ht="15" customHeight="1">
      <c r="A174" s="386"/>
      <c r="AP174" s="386"/>
    </row>
    <row r="175" spans="1:43" s="134" customFormat="1" ht="15" customHeight="1">
      <c r="A175" s="386"/>
      <c r="AP175" s="386"/>
    </row>
    <row r="176" spans="1:43" s="134" customFormat="1" ht="15" customHeight="1">
      <c r="A176" s="386"/>
      <c r="AP176" s="386"/>
    </row>
    <row r="177" spans="1:42" s="134" customFormat="1" ht="15" customHeight="1">
      <c r="A177" s="386"/>
      <c r="AP177" s="386"/>
    </row>
    <row r="178" spans="1:42" s="134" customFormat="1" ht="15" customHeight="1">
      <c r="A178" s="386"/>
      <c r="AP178" s="386"/>
    </row>
    <row r="179" spans="1:42" s="134" customFormat="1" ht="15" customHeight="1">
      <c r="A179" s="386"/>
      <c r="AP179" s="386"/>
    </row>
    <row r="180" spans="1:42" s="134" customFormat="1" ht="15" customHeight="1">
      <c r="A180" s="386"/>
      <c r="AP180" s="386"/>
    </row>
  </sheetData>
  <dataConsolidate/>
  <mergeCells count="207">
    <mergeCell ref="AN92:AN93"/>
    <mergeCell ref="AO92:AO93"/>
    <mergeCell ref="B93:I93"/>
    <mergeCell ref="J93:K93"/>
    <mergeCell ref="L93:AF93"/>
    <mergeCell ref="B103:AF104"/>
    <mergeCell ref="AO131:AO132"/>
    <mergeCell ref="B132:I132"/>
    <mergeCell ref="J132:K132"/>
    <mergeCell ref="L132:AF132"/>
    <mergeCell ref="B130:I130"/>
    <mergeCell ref="B131:I131"/>
    <mergeCell ref="J131:AF131"/>
    <mergeCell ref="AG131:AG145"/>
    <mergeCell ref="AH131:AH132"/>
    <mergeCell ref="AI131:AK131"/>
    <mergeCell ref="AL131:AL132"/>
    <mergeCell ref="AM131:AM132"/>
    <mergeCell ref="AN131:AN132"/>
    <mergeCell ref="B108:H109"/>
    <mergeCell ref="I108:AB109"/>
    <mergeCell ref="AC108:AH109"/>
    <mergeCell ref="AK108:AL108"/>
    <mergeCell ref="AM108:AO108"/>
    <mergeCell ref="B144:AF145"/>
    <mergeCell ref="B89:H90"/>
    <mergeCell ref="I89:AB90"/>
    <mergeCell ref="AC89:AH90"/>
    <mergeCell ref="AK89:AL89"/>
    <mergeCell ref="AM89:AO89"/>
    <mergeCell ref="AK90:AL90"/>
    <mergeCell ref="AM90:AO90"/>
    <mergeCell ref="J91:AB91"/>
    <mergeCell ref="AC91:AH91"/>
    <mergeCell ref="AI91:AL91"/>
    <mergeCell ref="AM91:AN91"/>
    <mergeCell ref="B91:I91"/>
    <mergeCell ref="B92:I92"/>
    <mergeCell ref="J92:AF92"/>
    <mergeCell ref="AG92:AG104"/>
    <mergeCell ref="AH92:AH93"/>
    <mergeCell ref="AI92:AK92"/>
    <mergeCell ref="AL92:AL93"/>
    <mergeCell ref="AM92:AM93"/>
    <mergeCell ref="J130:AB130"/>
    <mergeCell ref="AC130:AH130"/>
    <mergeCell ref="AI130:AL130"/>
    <mergeCell ref="AM130:AN130"/>
    <mergeCell ref="AK69:AL69"/>
    <mergeCell ref="AM69:AO69"/>
    <mergeCell ref="J70:AB70"/>
    <mergeCell ref="AC70:AH70"/>
    <mergeCell ref="AI70:AL70"/>
    <mergeCell ref="AM70:AN70"/>
    <mergeCell ref="B70:I70"/>
    <mergeCell ref="B71:I71"/>
    <mergeCell ref="J71:AF71"/>
    <mergeCell ref="AG71:AG85"/>
    <mergeCell ref="AH71:AH72"/>
    <mergeCell ref="AI71:AK71"/>
    <mergeCell ref="AL71:AL72"/>
    <mergeCell ref="AM71:AM72"/>
    <mergeCell ref="AN71:AN72"/>
    <mergeCell ref="AO71:AO72"/>
    <mergeCell ref="B72:I72"/>
    <mergeCell ref="J72:K72"/>
    <mergeCell ref="L72:AF72"/>
    <mergeCell ref="B84:AF85"/>
    <mergeCell ref="L16:AF16"/>
    <mergeCell ref="B26:AF27"/>
    <mergeCell ref="AK13:AL13"/>
    <mergeCell ref="AM13:AO13"/>
    <mergeCell ref="J14:AB14"/>
    <mergeCell ref="AC14:AH14"/>
    <mergeCell ref="AI14:AL14"/>
    <mergeCell ref="L154:AF154"/>
    <mergeCell ref="AM150:AO150"/>
    <mergeCell ref="AK151:AL151"/>
    <mergeCell ref="AM151:AO151"/>
    <mergeCell ref="J152:AB152"/>
    <mergeCell ref="AC152:AH152"/>
    <mergeCell ref="AI152:AL152"/>
    <mergeCell ref="AM152:AN152"/>
    <mergeCell ref="B152:I152"/>
    <mergeCell ref="B153:I153"/>
    <mergeCell ref="J153:AF153"/>
    <mergeCell ref="AG153:AG167"/>
    <mergeCell ref="AH153:AH154"/>
    <mergeCell ref="AI153:AK153"/>
    <mergeCell ref="AL153:AL154"/>
    <mergeCell ref="AM153:AM154"/>
    <mergeCell ref="B68:H69"/>
    <mergeCell ref="B166:AF167"/>
    <mergeCell ref="AM14:AN14"/>
    <mergeCell ref="B33:I33"/>
    <mergeCell ref="J33:AF33"/>
    <mergeCell ref="AG33:AG45"/>
    <mergeCell ref="AH33:AH34"/>
    <mergeCell ref="AI33:AK33"/>
    <mergeCell ref="AL33:AL34"/>
    <mergeCell ref="AM33:AM34"/>
    <mergeCell ref="AN33:AN34"/>
    <mergeCell ref="B30:H31"/>
    <mergeCell ref="I30:AB31"/>
    <mergeCell ref="AC30:AH31"/>
    <mergeCell ref="AK30:AL30"/>
    <mergeCell ref="AM30:AO30"/>
    <mergeCell ref="AK31:AL31"/>
    <mergeCell ref="AM31:AO31"/>
    <mergeCell ref="J32:AB32"/>
    <mergeCell ref="AC32:AH32"/>
    <mergeCell ref="B32:I32"/>
    <mergeCell ref="B150:H151"/>
    <mergeCell ref="I150:AB151"/>
    <mergeCell ref="AC150:AH151"/>
    <mergeCell ref="AK150:AL150"/>
    <mergeCell ref="AN153:AN154"/>
    <mergeCell ref="AO153:AO154"/>
    <mergeCell ref="B154:I154"/>
    <mergeCell ref="J154:K154"/>
    <mergeCell ref="B111:I111"/>
    <mergeCell ref="J111:AF111"/>
    <mergeCell ref="AG111:AG125"/>
    <mergeCell ref="AH111:AH112"/>
    <mergeCell ref="AI111:AK111"/>
    <mergeCell ref="AL111:AL112"/>
    <mergeCell ref="AM111:AM112"/>
    <mergeCell ref="AN111:AN112"/>
    <mergeCell ref="AO111:AO112"/>
    <mergeCell ref="B112:I112"/>
    <mergeCell ref="J112:K112"/>
    <mergeCell ref="L112:AF112"/>
    <mergeCell ref="B124:AF125"/>
    <mergeCell ref="B128:H129"/>
    <mergeCell ref="I128:AB129"/>
    <mergeCell ref="AC128:AH129"/>
    <mergeCell ref="AK128:AL128"/>
    <mergeCell ref="AM128:AO128"/>
    <mergeCell ref="AK129:AL129"/>
    <mergeCell ref="AM129:AO129"/>
    <mergeCell ref="AK109:AL109"/>
    <mergeCell ref="AM109:AO109"/>
    <mergeCell ref="J110:AB110"/>
    <mergeCell ref="AC110:AH110"/>
    <mergeCell ref="AI110:AL110"/>
    <mergeCell ref="AM110:AN110"/>
    <mergeCell ref="B110:I110"/>
    <mergeCell ref="B52:I52"/>
    <mergeCell ref="J52:AF52"/>
    <mergeCell ref="AG52:AG64"/>
    <mergeCell ref="AH52:AH53"/>
    <mergeCell ref="AI52:AK52"/>
    <mergeCell ref="AL52:AL53"/>
    <mergeCell ref="AM52:AM53"/>
    <mergeCell ref="AN52:AN53"/>
    <mergeCell ref="AO52:AO53"/>
    <mergeCell ref="B53:I53"/>
    <mergeCell ref="J53:K53"/>
    <mergeCell ref="L53:AF53"/>
    <mergeCell ref="B63:AF64"/>
    <mergeCell ref="I68:AB69"/>
    <mergeCell ref="AC68:AH69"/>
    <mergeCell ref="AK68:AL68"/>
    <mergeCell ref="AM68:AO68"/>
    <mergeCell ref="J51:AB51"/>
    <mergeCell ref="AC51:AH51"/>
    <mergeCell ref="AI51:AL51"/>
    <mergeCell ref="AM51:AN51"/>
    <mergeCell ref="B51:I51"/>
    <mergeCell ref="AI32:AL32"/>
    <mergeCell ref="AM32:AN32"/>
    <mergeCell ref="B49:H50"/>
    <mergeCell ref="I49:AB50"/>
    <mergeCell ref="AC49:AH50"/>
    <mergeCell ref="AK49:AL49"/>
    <mergeCell ref="AM49:AO49"/>
    <mergeCell ref="AK50:AL50"/>
    <mergeCell ref="AM50:AO50"/>
    <mergeCell ref="AO33:AO34"/>
    <mergeCell ref="B34:I34"/>
    <mergeCell ref="J34:K34"/>
    <mergeCell ref="L34:AF34"/>
    <mergeCell ref="B44:AF45"/>
    <mergeCell ref="AN2:AO5"/>
    <mergeCell ref="B6:AM6"/>
    <mergeCell ref="AN6:AO6"/>
    <mergeCell ref="B14:I14"/>
    <mergeCell ref="B15:I15"/>
    <mergeCell ref="J15:AF15"/>
    <mergeCell ref="AG15:AG27"/>
    <mergeCell ref="AH15:AH16"/>
    <mergeCell ref="AI15:AK15"/>
    <mergeCell ref="AL15:AL16"/>
    <mergeCell ref="AM15:AM16"/>
    <mergeCell ref="AN15:AN16"/>
    <mergeCell ref="B8:I10"/>
    <mergeCell ref="J8:AN10"/>
    <mergeCell ref="B11:G11"/>
    <mergeCell ref="B12:H13"/>
    <mergeCell ref="I12:AB13"/>
    <mergeCell ref="AC12:AH13"/>
    <mergeCell ref="AK12:AL12"/>
    <mergeCell ref="AM12:AO12"/>
    <mergeCell ref="B2:AJ5"/>
    <mergeCell ref="AO15:AO16"/>
    <mergeCell ref="B16:I16"/>
    <mergeCell ref="J16:K16"/>
  </mergeCells>
  <phoneticPr fontId="46" type="noConversion"/>
  <pageMargins left="0.51181102362204722" right="0.51181102362204722" top="0.74803149606299213" bottom="0.55118110236220474" header="0" footer="0"/>
  <pageSetup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BK69"/>
  <sheetViews>
    <sheetView zoomScale="70" zoomScaleNormal="70" workbookViewId="0">
      <pane xSplit="7" ySplit="6" topLeftCell="H30" activePane="bottomRight" state="frozen"/>
      <selection pane="topRight" activeCell="H1" sqref="H1"/>
      <selection pane="bottomLeft" activeCell="A7" sqref="A7"/>
      <selection pane="bottomRight" activeCell="BF60" sqref="BF60"/>
    </sheetView>
  </sheetViews>
  <sheetFormatPr baseColWidth="10" defaultColWidth="10.7109375" defaultRowHeight="15"/>
  <cols>
    <col min="1" max="1" width="20.7109375" customWidth="1"/>
    <col min="8" max="8" width="17.28515625" customWidth="1"/>
    <col min="9" max="9" width="16.85546875" customWidth="1"/>
    <col min="10" max="10" width="17.5703125" customWidth="1"/>
    <col min="11" max="11" width="20.85546875" customWidth="1"/>
    <col min="12" max="12" width="25.7109375" customWidth="1"/>
    <col min="13" max="13" width="17.7109375" customWidth="1"/>
    <col min="14" max="14" width="18.85546875" customWidth="1"/>
    <col min="15" max="15" width="19.42578125" customWidth="1"/>
    <col min="16" max="16" width="16.5703125" customWidth="1"/>
    <col min="17" max="17" width="15.140625" customWidth="1"/>
    <col min="18" max="18" width="16.28515625" customWidth="1"/>
    <col min="19" max="19" width="20.28515625" customWidth="1"/>
    <col min="20" max="28" width="11.42578125" customWidth="1"/>
    <col min="29" max="31" width="12.28515625" customWidth="1"/>
    <col min="32" max="41" width="11.42578125" customWidth="1"/>
    <col min="42" max="44" width="11.28515625" customWidth="1"/>
    <col min="45" max="61" width="20" customWidth="1"/>
  </cols>
  <sheetData>
    <row r="1" spans="1:63" ht="43.5" customHeight="1">
      <c r="A1" s="850" t="str">
        <f>+PRESUPUESTO!A1</f>
        <v>" MEJORAMIENTO, ADECUACIÓN MENOR Y MANTENIMIENTO DE LA INFRAESTRUCTURA DE LAS INSTITUCIONES EDUCATIVAS URBANAS Y RURALES DEL MUNICIPIO DE SAN JOSÉ DE CÚCUTA"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  <c r="Q1" s="850"/>
      <c r="R1" s="850"/>
      <c r="S1" s="850"/>
      <c r="T1" s="850"/>
      <c r="U1" s="850"/>
      <c r="V1" s="850"/>
      <c r="W1" s="850"/>
      <c r="X1" s="850"/>
      <c r="Y1" s="850"/>
      <c r="Z1" s="850"/>
      <c r="AA1" s="850"/>
      <c r="AB1" s="850"/>
      <c r="AC1" s="850"/>
      <c r="AD1" s="850"/>
      <c r="AE1" s="850"/>
      <c r="AF1" s="850"/>
      <c r="AG1" s="850"/>
      <c r="AH1" s="850"/>
      <c r="AI1" s="850"/>
      <c r="AJ1" s="850"/>
      <c r="AK1" s="850"/>
      <c r="AL1" s="850"/>
      <c r="AM1" s="850"/>
      <c r="AN1" s="850"/>
      <c r="AO1" s="850"/>
      <c r="AP1" s="850"/>
      <c r="AQ1" s="850"/>
      <c r="AR1" s="850"/>
      <c r="AS1" s="850"/>
      <c r="AT1" s="850"/>
      <c r="AU1" s="850"/>
      <c r="AV1" s="850"/>
      <c r="AW1" s="850"/>
      <c r="AX1" s="850"/>
      <c r="AY1" s="850"/>
      <c r="AZ1" s="850"/>
      <c r="BA1" s="850"/>
      <c r="BB1" s="850"/>
      <c r="BC1" s="850"/>
      <c r="BD1" s="850"/>
      <c r="BE1" s="850"/>
      <c r="BF1" s="850"/>
      <c r="BG1" s="850"/>
      <c r="BH1" s="850"/>
      <c r="BI1" s="850"/>
      <c r="BJ1" s="850"/>
      <c r="BK1" s="850"/>
    </row>
    <row r="2" spans="1:63" ht="18">
      <c r="A2" s="850" t="s">
        <v>75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850"/>
      <c r="P2" s="850"/>
      <c r="Q2" s="850"/>
      <c r="R2" s="850"/>
      <c r="S2" s="850"/>
      <c r="T2" s="850"/>
      <c r="U2" s="850"/>
      <c r="V2" s="850"/>
      <c r="W2" s="850"/>
      <c r="X2" s="850"/>
      <c r="Y2" s="850"/>
      <c r="Z2" s="850"/>
      <c r="AA2" s="850"/>
      <c r="AB2" s="850"/>
      <c r="AC2" s="850"/>
      <c r="AD2" s="850"/>
      <c r="AE2" s="850"/>
      <c r="AF2" s="850"/>
      <c r="AG2" s="850"/>
      <c r="AH2" s="850"/>
      <c r="AI2" s="850"/>
      <c r="AJ2" s="850"/>
      <c r="AK2" s="850"/>
      <c r="AL2" s="850"/>
      <c r="AM2" s="850"/>
      <c r="AN2" s="850"/>
      <c r="AO2" s="850"/>
      <c r="AP2" s="850"/>
      <c r="AQ2" s="850"/>
      <c r="AR2" s="850"/>
      <c r="AS2" s="850"/>
      <c r="AT2" s="850"/>
      <c r="AU2" s="850"/>
      <c r="AV2" s="850"/>
      <c r="AW2" s="850"/>
      <c r="AX2" s="850"/>
      <c r="AY2" s="850"/>
      <c r="AZ2" s="850"/>
      <c r="BA2" s="850"/>
      <c r="BB2" s="850"/>
      <c r="BC2" s="850"/>
      <c r="BD2" s="850"/>
      <c r="BE2" s="850"/>
      <c r="BF2" s="850"/>
      <c r="BG2" s="850"/>
      <c r="BH2" s="850"/>
      <c r="BI2" s="850"/>
      <c r="BJ2" s="850"/>
      <c r="BK2" s="850"/>
    </row>
    <row r="3" spans="1:63" ht="15.75">
      <c r="A3" s="16" t="s">
        <v>12</v>
      </c>
      <c r="B3" s="851"/>
      <c r="C3" s="852"/>
      <c r="D3" s="852"/>
      <c r="E3" s="853"/>
      <c r="F3" s="17"/>
      <c r="G3" s="17"/>
      <c r="H3" s="18">
        <v>1.1000000000000001</v>
      </c>
      <c r="I3" s="49">
        <v>1.2</v>
      </c>
      <c r="J3" s="49" t="e">
        <f>+PRESUPUESTO!#REF!</f>
        <v>#REF!</v>
      </c>
      <c r="K3" s="19" t="e">
        <f>+PRESUPUESTO!#REF!</f>
        <v>#REF!</v>
      </c>
      <c r="L3" s="19" t="e">
        <f>+PRESUPUESTO!#REF!</f>
        <v>#REF!</v>
      </c>
      <c r="M3" s="19" t="e">
        <f>+PRESUPUESTO!#REF!</f>
        <v>#REF!</v>
      </c>
      <c r="N3" s="19" t="e">
        <f>+PRESUPUESTO!#REF!</f>
        <v>#REF!</v>
      </c>
      <c r="O3" s="20">
        <v>2.1</v>
      </c>
      <c r="P3" s="20" t="e">
        <f>+PRESUPUESTO!#REF!</f>
        <v>#REF!</v>
      </c>
      <c r="Q3" s="20">
        <v>2.2999999999999998</v>
      </c>
      <c r="R3" s="20">
        <v>2.4</v>
      </c>
      <c r="S3" s="20" t="e">
        <f>+PRESUPUESTO!#REF!</f>
        <v>#REF!</v>
      </c>
      <c r="T3" s="20" t="e">
        <f>+PRESUPUESTO!#REF!</f>
        <v>#REF!</v>
      </c>
      <c r="U3" s="20" t="e">
        <f>+PRESUPUESTO!#REF!</f>
        <v>#REF!</v>
      </c>
      <c r="V3" s="20" t="e">
        <f>+PRESUPUESTO!#REF!</f>
        <v>#REF!</v>
      </c>
      <c r="W3" s="60" t="e">
        <f>+PRESUPUESTO!#REF!</f>
        <v>#REF!</v>
      </c>
      <c r="X3" s="68">
        <v>3.1</v>
      </c>
      <c r="Y3" s="68">
        <v>3.2</v>
      </c>
      <c r="Z3" s="68">
        <v>3.3</v>
      </c>
      <c r="AA3" s="68" t="e">
        <f>+PRESUPUESTO!#REF!</f>
        <v>#REF!</v>
      </c>
      <c r="AB3" s="68" t="e">
        <f>+PRESUPUESTO!#REF!</f>
        <v>#REF!</v>
      </c>
      <c r="AC3" s="20" t="e">
        <f>+PRESUPUESTO!#REF!</f>
        <v>#REF!</v>
      </c>
      <c r="AD3" s="20" t="e">
        <f>+PRESUPUESTO!#REF!</f>
        <v>#REF!</v>
      </c>
      <c r="AE3" s="20" t="e">
        <f>+PRESUPUESTO!#REF!</f>
        <v>#REF!</v>
      </c>
      <c r="AF3" s="20" t="e">
        <f>+PRESUPUESTO!#REF!</f>
        <v>#REF!</v>
      </c>
      <c r="AG3" s="20" t="e">
        <f>+PRESUPUESTO!#REF!</f>
        <v>#REF!</v>
      </c>
      <c r="AH3" s="20" t="e">
        <f>+PRESUPUESTO!#REF!</f>
        <v>#REF!</v>
      </c>
      <c r="AI3" s="20" t="e">
        <f>+PRESUPUESTO!#REF!</f>
        <v>#REF!</v>
      </c>
      <c r="AJ3" s="20" t="e">
        <f>+PRESUPUESTO!#REF!</f>
        <v>#REF!</v>
      </c>
      <c r="AK3" s="20" t="e">
        <f>+PRESUPUESTO!#REF!</f>
        <v>#REF!</v>
      </c>
      <c r="AL3" s="20">
        <f>+PRESUPUESTO!A18</f>
        <v>3.1</v>
      </c>
      <c r="AM3" s="20" t="e">
        <f>+PRESUPUESTO!#REF!</f>
        <v>#REF!</v>
      </c>
      <c r="AN3" s="20" t="e">
        <f>+PRESUPUESTO!#REF!</f>
        <v>#REF!</v>
      </c>
      <c r="AO3" s="846" t="e">
        <f>+PRESUPUESTO!#REF!</f>
        <v>#REF!</v>
      </c>
      <c r="AP3" s="847"/>
      <c r="AQ3" s="18" t="e">
        <f>+PRESUPUESTO!#REF!</f>
        <v>#REF!</v>
      </c>
      <c r="AR3" s="18" t="e">
        <f>+PRESUPUESTO!#REF!</f>
        <v>#REF!</v>
      </c>
      <c r="AS3" s="18" t="e">
        <f>+PRESUPUESTO!#REF!</f>
        <v>#REF!</v>
      </c>
      <c r="AT3" s="18" t="e">
        <f>+PRESUPUESTO!#REF!</f>
        <v>#REF!</v>
      </c>
      <c r="AU3" s="18" t="e">
        <f>+PRESUPUESTO!#REF!</f>
        <v>#REF!</v>
      </c>
      <c r="AV3" s="18" t="e">
        <f>+PRESUPUESTO!#REF!</f>
        <v>#REF!</v>
      </c>
      <c r="AW3" s="18" t="e">
        <f>+PRESUPUESTO!#REF!</f>
        <v>#REF!</v>
      </c>
      <c r="AX3" s="18" t="e">
        <f>+PRESUPUESTO!#REF!</f>
        <v>#REF!</v>
      </c>
      <c r="AY3" s="18" t="e">
        <f>+PRESUPUESTO!#REF!</f>
        <v>#REF!</v>
      </c>
      <c r="AZ3" s="18" t="e">
        <f>+PRESUPUESTO!#REF!</f>
        <v>#REF!</v>
      </c>
      <c r="BA3" s="18" t="e">
        <f>+PRESUPUESTO!#REF!</f>
        <v>#REF!</v>
      </c>
      <c r="BB3" s="18" t="e">
        <f>+PRESUPUESTO!#REF!</f>
        <v>#REF!</v>
      </c>
      <c r="BC3" s="18" t="e">
        <f>+PRESUPUESTO!#REF!</f>
        <v>#REF!</v>
      </c>
      <c r="BD3" s="18" t="e">
        <f>+PRESUPUESTO!#REF!</f>
        <v>#REF!</v>
      </c>
      <c r="BE3" s="18" t="e">
        <f>+PRESUPUESTO!#REF!</f>
        <v>#REF!</v>
      </c>
      <c r="BF3" s="18" t="e">
        <f>+PRESUPUESTO!#REF!</f>
        <v>#REF!</v>
      </c>
      <c r="BG3" s="18" t="e">
        <f>+PRESUPUESTO!#REF!</f>
        <v>#REF!</v>
      </c>
      <c r="BH3" s="17" t="e">
        <f>+PRESUPUESTO!#REF!</f>
        <v>#REF!</v>
      </c>
      <c r="BI3" s="18" t="e">
        <f>+PRESUPUESTO!#REF!</f>
        <v>#REF!</v>
      </c>
      <c r="BJ3" s="20">
        <f>+PRESUPUESTO!A26</f>
        <v>5.2</v>
      </c>
      <c r="BK3" s="20"/>
    </row>
    <row r="4" spans="1:63" ht="15.75" customHeight="1">
      <c r="A4" s="854" t="s">
        <v>76</v>
      </c>
      <c r="B4" s="857" t="s">
        <v>77</v>
      </c>
      <c r="C4" s="858"/>
      <c r="D4" s="858"/>
      <c r="E4" s="858"/>
      <c r="F4" s="21"/>
      <c r="G4" s="21"/>
      <c r="H4" s="859" t="s">
        <v>78</v>
      </c>
      <c r="I4" s="859" t="s">
        <v>79</v>
      </c>
      <c r="J4" s="859" t="e">
        <f>+PRESUPUESTO!#REF!</f>
        <v>#REF!</v>
      </c>
      <c r="K4" s="860" t="e">
        <f>+PRESUPUESTO!#REF!</f>
        <v>#REF!</v>
      </c>
      <c r="L4" s="860" t="e">
        <f>+PRESUPUESTO!#REF!</f>
        <v>#REF!</v>
      </c>
      <c r="M4" s="860" t="s">
        <v>80</v>
      </c>
      <c r="N4" s="860" t="e">
        <f>+PRESUPUESTO!#REF!</f>
        <v>#REF!</v>
      </c>
      <c r="O4" s="860" t="s">
        <v>81</v>
      </c>
      <c r="P4" s="860" t="e">
        <f>+PRESUPUESTO!#REF!</f>
        <v>#REF!</v>
      </c>
      <c r="Q4" s="860" t="s">
        <v>82</v>
      </c>
      <c r="R4" s="860" t="s">
        <v>83</v>
      </c>
      <c r="S4" s="860" t="e">
        <f>+PRESUPUESTO!#REF!</f>
        <v>#REF!</v>
      </c>
      <c r="T4" s="862" t="e">
        <f>+PRESUPUESTO!#REF!</f>
        <v>#REF!</v>
      </c>
      <c r="U4" s="862" t="e">
        <f>+PRESUPUESTO!#REF!</f>
        <v>#REF!</v>
      </c>
      <c r="V4" s="862" t="e">
        <f>+PRESUPUESTO!#REF!</f>
        <v>#REF!</v>
      </c>
      <c r="W4" s="862" t="e">
        <f>+PRESUPUESTO!#REF!</f>
        <v>#REF!</v>
      </c>
      <c r="X4" s="866" t="s">
        <v>84</v>
      </c>
      <c r="Y4" s="866" t="s">
        <v>85</v>
      </c>
      <c r="Z4" s="866" t="s">
        <v>86</v>
      </c>
      <c r="AA4" s="866" t="e">
        <f>+PRESUPUESTO!#REF!</f>
        <v>#REF!</v>
      </c>
      <c r="AB4" s="866" t="e">
        <f>+PRESUPUESTO!#REF!</f>
        <v>#REF!</v>
      </c>
      <c r="AC4" s="842" t="e">
        <f>+PRESUPUESTO!#REF!</f>
        <v>#REF!</v>
      </c>
      <c r="AD4" s="842" t="e">
        <f>+PRESUPUESTO!#REF!</f>
        <v>#REF!</v>
      </c>
      <c r="AE4" s="842" t="e">
        <f>+PRESUPUESTO!#REF!</f>
        <v>#REF!</v>
      </c>
      <c r="AF4" s="862" t="s">
        <v>87</v>
      </c>
      <c r="AG4" s="842" t="e">
        <f>+PRESUPUESTO!#REF!</f>
        <v>#REF!</v>
      </c>
      <c r="AH4" s="842" t="e">
        <f>+PRESUPUESTO!#REF!</f>
        <v>#REF!</v>
      </c>
      <c r="AI4" s="842" t="e">
        <f>+PRESUPUESTO!#REF!</f>
        <v>#REF!</v>
      </c>
      <c r="AJ4" s="842" t="e">
        <f>+PRESUPUESTO!#REF!</f>
        <v>#REF!</v>
      </c>
      <c r="AK4" s="842" t="e">
        <f>+PRESUPUESTO!#REF!</f>
        <v>#REF!</v>
      </c>
      <c r="AL4" s="842" t="str">
        <f>+PRESUPUESTO!C18</f>
        <v xml:space="preserve">MANTENIMIENTO DE TERRAZAS con suministro y aplicación de  manto impermeabilizante tipo N 4 o similar, (incluye correccion de pendiente, construccion de mediacañas y desmonte de manto o impermeabilizacion existente en caso de requerirse) </v>
      </c>
      <c r="AM4" s="842" t="e">
        <f>+PRESUPUESTO!#REF!</f>
        <v>#REF!</v>
      </c>
      <c r="AN4" s="842" t="e">
        <f>+PRESUPUESTO!#REF!</f>
        <v>#REF!</v>
      </c>
      <c r="AO4" s="878" t="s">
        <v>88</v>
      </c>
      <c r="AP4" s="879"/>
      <c r="AQ4" s="842" t="e">
        <f>+PRESUPUESTO!#REF!</f>
        <v>#REF!</v>
      </c>
      <c r="AR4" s="842" t="e">
        <f>+PRESUPUESTO!#REF!</f>
        <v>#REF!</v>
      </c>
      <c r="AS4" s="842" t="e">
        <f>+PRESUPUESTO!#REF!</f>
        <v>#REF!</v>
      </c>
      <c r="AT4" s="842" t="e">
        <f>+PRESUPUESTO!#REF!</f>
        <v>#REF!</v>
      </c>
      <c r="AU4" s="842" t="e">
        <f>+PRESUPUESTO!#REF!</f>
        <v>#REF!</v>
      </c>
      <c r="AV4" s="842" t="e">
        <f>+PRESUPUESTO!#REF!</f>
        <v>#REF!</v>
      </c>
      <c r="AW4" s="842" t="e">
        <f>+PRESUPUESTO!#REF!</f>
        <v>#REF!</v>
      </c>
      <c r="AX4" s="842" t="e">
        <f>+PRESUPUESTO!#REF!</f>
        <v>#REF!</v>
      </c>
      <c r="AY4" s="842" t="e">
        <f>+PRESUPUESTO!#REF!</f>
        <v>#REF!</v>
      </c>
      <c r="AZ4" s="842" t="e">
        <f>+PRESUPUESTO!#REF!</f>
        <v>#REF!</v>
      </c>
      <c r="BA4" s="842" t="e">
        <f>+PRESUPUESTO!#REF!</f>
        <v>#REF!</v>
      </c>
      <c r="BB4" s="842" t="e">
        <f>+PRESUPUESTO!#REF!</f>
        <v>#REF!</v>
      </c>
      <c r="BC4" s="842" t="e">
        <f>+PRESUPUESTO!#REF!</f>
        <v>#REF!</v>
      </c>
      <c r="BD4" s="842" t="e">
        <f>+PRESUPUESTO!#REF!</f>
        <v>#REF!</v>
      </c>
      <c r="BE4" s="842" t="e">
        <f>+PRESUPUESTO!#REF!</f>
        <v>#REF!</v>
      </c>
      <c r="BF4" s="842" t="e">
        <f>+PRESUPUESTO!#REF!</f>
        <v>#REF!</v>
      </c>
      <c r="BG4" s="842" t="e">
        <f>+PRESUPUESTO!#REF!</f>
        <v>#REF!</v>
      </c>
      <c r="BH4" s="842" t="e">
        <f>+PRESUPUESTO!#REF!</f>
        <v>#REF!</v>
      </c>
      <c r="BI4" s="842" t="e">
        <f>+PRESUPUESTO!#REF!</f>
        <v>#REF!</v>
      </c>
      <c r="BJ4" s="842" t="str">
        <f>+PRESUPUESTO!C26</f>
        <v>ASEO GENERAL Y LIMPIEZA EN SUS ALREDEDORES Y AREAS INTERVENIDAS (Incluye pisos y muros de aulas, pasillos y zona de exparcimiento)</v>
      </c>
      <c r="BK4" s="862"/>
    </row>
    <row r="5" spans="1:63" ht="178.9" customHeight="1">
      <c r="A5" s="855"/>
      <c r="B5" s="864" t="s">
        <v>89</v>
      </c>
      <c r="C5" s="865"/>
      <c r="D5" s="865"/>
      <c r="E5" s="865"/>
      <c r="F5" s="22"/>
      <c r="G5" s="22"/>
      <c r="H5" s="859"/>
      <c r="I5" s="859"/>
      <c r="J5" s="859"/>
      <c r="K5" s="861"/>
      <c r="L5" s="861"/>
      <c r="M5" s="861"/>
      <c r="N5" s="861"/>
      <c r="O5" s="861"/>
      <c r="P5" s="861"/>
      <c r="Q5" s="861"/>
      <c r="R5" s="861"/>
      <c r="S5" s="861"/>
      <c r="T5" s="863"/>
      <c r="U5" s="863"/>
      <c r="V5" s="863"/>
      <c r="W5" s="863"/>
      <c r="X5" s="867"/>
      <c r="Y5" s="867"/>
      <c r="Z5" s="867"/>
      <c r="AA5" s="867"/>
      <c r="AB5" s="867"/>
      <c r="AC5" s="843"/>
      <c r="AD5" s="843"/>
      <c r="AE5" s="843"/>
      <c r="AF5" s="863"/>
      <c r="AG5" s="843"/>
      <c r="AH5" s="843"/>
      <c r="AI5" s="843"/>
      <c r="AJ5" s="843"/>
      <c r="AK5" s="843"/>
      <c r="AL5" s="843"/>
      <c r="AM5" s="843"/>
      <c r="AN5" s="843"/>
      <c r="AO5" s="880"/>
      <c r="AP5" s="881"/>
      <c r="AQ5" s="843"/>
      <c r="AR5" s="843"/>
      <c r="AS5" s="843"/>
      <c r="AT5" s="843"/>
      <c r="AU5" s="843"/>
      <c r="AV5" s="843"/>
      <c r="AW5" s="843"/>
      <c r="AX5" s="843"/>
      <c r="AY5" s="843"/>
      <c r="AZ5" s="843"/>
      <c r="BA5" s="843"/>
      <c r="BB5" s="843"/>
      <c r="BC5" s="843"/>
      <c r="BD5" s="843"/>
      <c r="BE5" s="843"/>
      <c r="BF5" s="843"/>
      <c r="BG5" s="843"/>
      <c r="BH5" s="843"/>
      <c r="BI5" s="843"/>
      <c r="BJ5" s="843"/>
      <c r="BK5" s="863"/>
    </row>
    <row r="6" spans="1:63" ht="75">
      <c r="A6" s="856"/>
      <c r="B6" s="848" t="s">
        <v>90</v>
      </c>
      <c r="C6" s="849"/>
      <c r="D6" s="23" t="s">
        <v>68</v>
      </c>
      <c r="E6" s="23" t="s">
        <v>69</v>
      </c>
      <c r="F6" s="23" t="s">
        <v>91</v>
      </c>
      <c r="G6" s="24" t="s">
        <v>92</v>
      </c>
      <c r="H6" s="23" t="s">
        <v>93</v>
      </c>
      <c r="I6" s="61" t="s">
        <v>93</v>
      </c>
      <c r="J6" s="61" t="s">
        <v>93</v>
      </c>
      <c r="K6" s="23" t="s">
        <v>93</v>
      </c>
      <c r="L6" s="23" t="s">
        <v>93</v>
      </c>
      <c r="M6" s="23" t="s">
        <v>94</v>
      </c>
      <c r="N6" s="23" t="s">
        <v>95</v>
      </c>
      <c r="O6" s="23" t="s">
        <v>94</v>
      </c>
      <c r="P6" s="23" t="s">
        <v>96</v>
      </c>
      <c r="Q6" s="23" t="s">
        <v>94</v>
      </c>
      <c r="R6" s="23" t="s">
        <v>94</v>
      </c>
      <c r="S6" s="23" t="s">
        <v>94</v>
      </c>
      <c r="T6" s="23" t="s">
        <v>94</v>
      </c>
      <c r="U6" s="23" t="s">
        <v>96</v>
      </c>
      <c r="V6" s="23" t="s">
        <v>96</v>
      </c>
      <c r="W6" s="23" t="s">
        <v>96</v>
      </c>
      <c r="X6" s="69" t="s">
        <v>94</v>
      </c>
      <c r="Y6" s="69" t="s">
        <v>95</v>
      </c>
      <c r="Z6" s="69" t="s">
        <v>95</v>
      </c>
      <c r="AA6" s="75" t="s">
        <v>96</v>
      </c>
      <c r="AB6" s="75" t="s">
        <v>22</v>
      </c>
      <c r="AC6" s="25" t="s">
        <v>22</v>
      </c>
      <c r="AD6" s="25" t="s">
        <v>22</v>
      </c>
      <c r="AE6" s="25" t="s">
        <v>22</v>
      </c>
      <c r="AF6" s="25" t="s">
        <v>93</v>
      </c>
      <c r="AG6" s="25" t="s">
        <v>93</v>
      </c>
      <c r="AH6" s="25" t="s">
        <v>93</v>
      </c>
      <c r="AI6" s="25" t="s">
        <v>93</v>
      </c>
      <c r="AJ6" s="25" t="s">
        <v>93</v>
      </c>
      <c r="AK6" s="25" t="s">
        <v>93</v>
      </c>
      <c r="AL6" s="25" t="s">
        <v>97</v>
      </c>
      <c r="AM6" s="25" t="s">
        <v>97</v>
      </c>
      <c r="AN6" s="25" t="s">
        <v>93</v>
      </c>
      <c r="AO6" s="848" t="s">
        <v>97</v>
      </c>
      <c r="AP6" s="849"/>
      <c r="AQ6" s="56" t="s">
        <v>97</v>
      </c>
      <c r="AR6" s="56" t="s">
        <v>30</v>
      </c>
      <c r="AS6" s="56"/>
      <c r="AT6" s="56"/>
      <c r="AU6" s="56" t="s">
        <v>97</v>
      </c>
      <c r="AV6" s="56" t="s">
        <v>97</v>
      </c>
      <c r="AW6" s="56" t="s">
        <v>97</v>
      </c>
      <c r="AX6" s="56"/>
      <c r="AY6" s="56" t="s">
        <v>30</v>
      </c>
      <c r="AZ6" s="56" t="s">
        <v>97</v>
      </c>
      <c r="BA6" s="56" t="s">
        <v>30</v>
      </c>
      <c r="BB6" s="56" t="s">
        <v>97</v>
      </c>
      <c r="BC6" s="56" t="s">
        <v>97</v>
      </c>
      <c r="BD6" s="56" t="s">
        <v>97</v>
      </c>
      <c r="BE6" s="56" t="s">
        <v>30</v>
      </c>
      <c r="BF6" s="56" t="s">
        <v>30</v>
      </c>
      <c r="BG6" s="56" t="s">
        <v>30</v>
      </c>
      <c r="BH6" s="56" t="s">
        <v>30</v>
      </c>
      <c r="BI6" s="56" t="s">
        <v>97</v>
      </c>
      <c r="BJ6" s="25" t="s">
        <v>22</v>
      </c>
      <c r="BK6" s="25"/>
    </row>
    <row r="7" spans="1:63">
      <c r="A7" s="868" t="str">
        <f>+PRESUPUESTO!A1</f>
        <v>" MEJORAMIENTO, ADECUACIÓN MENOR Y MANTENIMIENTO DE LA INFRAESTRUCTURA DE LAS INSTITUCIONES EDUCATIVAS URBANAS Y RURALES DEL MUNICIPIO DE SAN JOSÉ DE CÚCUTA"</v>
      </c>
      <c r="B7" s="870">
        <v>658</v>
      </c>
      <c r="C7" s="870"/>
      <c r="D7" s="26">
        <v>10.35</v>
      </c>
      <c r="E7" s="26">
        <v>8.1</v>
      </c>
      <c r="F7" s="26">
        <v>0.3</v>
      </c>
      <c r="G7" s="65"/>
      <c r="H7" s="27">
        <f>+(D7*E7)*1.1</f>
        <v>92.218500000000006</v>
      </c>
      <c r="I7" s="61">
        <f>+D7*2.4</f>
        <v>24.84</v>
      </c>
      <c r="J7" s="26"/>
      <c r="K7" s="27">
        <f>+B7</f>
        <v>658</v>
      </c>
      <c r="L7" s="28">
        <f>+B7</f>
        <v>658</v>
      </c>
      <c r="M7" s="28">
        <f>+J13*0.18</f>
        <v>10.206</v>
      </c>
      <c r="N7" s="28"/>
      <c r="O7" s="29"/>
      <c r="P7" s="29"/>
      <c r="Q7" s="29"/>
      <c r="R7" s="29"/>
      <c r="S7" s="27"/>
      <c r="T7" s="27"/>
      <c r="U7" s="27"/>
      <c r="V7" s="27"/>
      <c r="W7" s="27"/>
      <c r="X7" s="26"/>
      <c r="Y7" s="26"/>
      <c r="Z7" s="26"/>
      <c r="AA7" s="26"/>
      <c r="AB7" s="26"/>
      <c r="AC7" s="27"/>
      <c r="AD7" s="27"/>
      <c r="AE7" s="27"/>
      <c r="AF7" s="30"/>
      <c r="AG7" s="30"/>
      <c r="AH7" s="30"/>
      <c r="AI7" s="30"/>
      <c r="AJ7" s="30"/>
      <c r="AK7" s="30"/>
      <c r="AL7" s="30"/>
      <c r="AM7" s="30"/>
      <c r="AN7" s="30"/>
      <c r="AO7" s="844"/>
      <c r="AP7" s="845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30"/>
      <c r="BK7" s="27"/>
    </row>
    <row r="8" spans="1:63">
      <c r="A8" s="869"/>
      <c r="B8" s="30"/>
      <c r="C8" s="30"/>
      <c r="D8" s="26">
        <v>8.32</v>
      </c>
      <c r="E8" s="26">
        <v>6.1</v>
      </c>
      <c r="F8" s="26"/>
      <c r="G8" s="65"/>
      <c r="H8" s="27">
        <f>+D8*E8</f>
        <v>50.751999999999995</v>
      </c>
      <c r="I8" s="26"/>
      <c r="J8" s="26"/>
      <c r="K8" s="27"/>
      <c r="L8" s="28"/>
      <c r="M8" s="28">
        <f>+I60*0.12</f>
        <v>13.678800000000001</v>
      </c>
      <c r="N8" s="28"/>
      <c r="O8" s="29"/>
      <c r="P8" s="29"/>
      <c r="Q8" s="29"/>
      <c r="R8" s="29"/>
      <c r="S8" s="27"/>
      <c r="T8" s="27"/>
      <c r="U8" s="27"/>
      <c r="V8" s="27"/>
      <c r="W8" s="27"/>
      <c r="X8" s="26"/>
      <c r="Y8" s="26"/>
      <c r="Z8" s="26"/>
      <c r="AA8" s="26"/>
      <c r="AB8" s="26">
        <f>+D8*E8</f>
        <v>50.751999999999995</v>
      </c>
      <c r="AC8" s="27"/>
      <c r="AD8" s="27"/>
      <c r="AE8" s="27"/>
      <c r="AF8" s="30"/>
      <c r="AG8" s="30"/>
      <c r="AH8" s="30"/>
      <c r="AI8" s="30"/>
      <c r="AJ8" s="30"/>
      <c r="AK8" s="30"/>
      <c r="AL8" s="30"/>
      <c r="AM8" s="30"/>
      <c r="AN8" s="30"/>
      <c r="AO8" s="844"/>
      <c r="AP8" s="845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30"/>
      <c r="BK8" s="27"/>
    </row>
    <row r="9" spans="1:63">
      <c r="A9" s="869"/>
      <c r="B9" s="30"/>
      <c r="C9" s="30"/>
      <c r="D9" s="26">
        <v>6.1</v>
      </c>
      <c r="E9" s="26"/>
      <c r="F9" s="26">
        <v>1.5</v>
      </c>
      <c r="G9" s="65"/>
      <c r="H9" s="27"/>
      <c r="I9" s="26">
        <f>+D9*F9*2</f>
        <v>18.299999999999997</v>
      </c>
      <c r="J9" s="26"/>
      <c r="K9" s="27"/>
      <c r="L9" s="28"/>
      <c r="M9" s="28">
        <f>+H60*0.1</f>
        <v>14.297050000000002</v>
      </c>
      <c r="N9" s="28"/>
      <c r="O9" s="29"/>
      <c r="P9" s="29"/>
      <c r="Q9" s="29"/>
      <c r="R9" s="29"/>
      <c r="S9" s="27"/>
      <c r="T9" s="27"/>
      <c r="U9" s="27"/>
      <c r="V9" s="27"/>
      <c r="W9" s="27"/>
      <c r="X9" s="26"/>
      <c r="Y9" s="26"/>
      <c r="Z9" s="26"/>
      <c r="AA9" s="26"/>
      <c r="AB9" s="26"/>
      <c r="AC9" s="27"/>
      <c r="AD9" s="27"/>
      <c r="AE9" s="27"/>
      <c r="AF9" s="30"/>
      <c r="AG9" s="30"/>
      <c r="AH9" s="30"/>
      <c r="AI9" s="30"/>
      <c r="AJ9" s="30"/>
      <c r="AK9" s="30"/>
      <c r="AL9" s="30"/>
      <c r="AM9" s="30"/>
      <c r="AN9" s="30"/>
      <c r="AO9" s="844"/>
      <c r="AP9" s="845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30"/>
      <c r="BK9" s="27"/>
    </row>
    <row r="10" spans="1:63">
      <c r="A10" s="869"/>
      <c r="B10" s="30"/>
      <c r="C10" s="30"/>
      <c r="D10" s="26">
        <v>14</v>
      </c>
      <c r="E10" s="26"/>
      <c r="F10" s="26">
        <v>1</v>
      </c>
      <c r="G10" s="65"/>
      <c r="H10" s="27"/>
      <c r="I10" s="26">
        <v>14</v>
      </c>
      <c r="J10" s="26"/>
      <c r="K10" s="27"/>
      <c r="L10" s="28"/>
      <c r="M10" s="28"/>
      <c r="N10" s="28"/>
      <c r="O10" s="29"/>
      <c r="P10" s="29"/>
      <c r="Q10" s="29"/>
      <c r="R10" s="29"/>
      <c r="S10" s="27"/>
      <c r="T10" s="27"/>
      <c r="U10" s="27"/>
      <c r="V10" s="27"/>
      <c r="W10" s="27"/>
      <c r="X10" s="26"/>
      <c r="Y10" s="26"/>
      <c r="Z10" s="26"/>
      <c r="AA10" s="26"/>
      <c r="AB10" s="26"/>
      <c r="AC10" s="27"/>
      <c r="AD10" s="27"/>
      <c r="AE10" s="27">
        <f>+D10*F14</f>
        <v>42</v>
      </c>
      <c r="AF10" s="30"/>
      <c r="AG10" s="30"/>
      <c r="AH10" s="30"/>
      <c r="AI10" s="30"/>
      <c r="AJ10" s="30"/>
      <c r="AK10" s="30"/>
      <c r="AL10" s="30"/>
      <c r="AM10" s="30"/>
      <c r="AN10" s="30"/>
      <c r="AO10" s="844"/>
      <c r="AP10" s="845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30"/>
      <c r="BK10" s="27"/>
    </row>
    <row r="11" spans="1:63">
      <c r="A11" s="869"/>
      <c r="B11" s="30"/>
      <c r="C11" s="30"/>
      <c r="D11" s="26">
        <v>6.1</v>
      </c>
      <c r="E11" s="26"/>
      <c r="F11" s="26">
        <v>2.5</v>
      </c>
      <c r="G11" s="65"/>
      <c r="H11" s="27"/>
      <c r="I11" s="26">
        <f>+D11*F11</f>
        <v>15.25</v>
      </c>
      <c r="J11" s="26"/>
      <c r="K11" s="27"/>
      <c r="L11" s="28"/>
      <c r="M11" s="28"/>
      <c r="N11" s="28"/>
      <c r="O11" s="29"/>
      <c r="P11" s="29"/>
      <c r="Q11" s="29"/>
      <c r="R11" s="29"/>
      <c r="S11" s="27"/>
      <c r="T11" s="27"/>
      <c r="U11" s="27"/>
      <c r="V11" s="27"/>
      <c r="W11" s="27"/>
      <c r="X11" s="26"/>
      <c r="Y11" s="26"/>
      <c r="Z11" s="26"/>
      <c r="AA11" s="26"/>
      <c r="AB11" s="26"/>
      <c r="AC11" s="27"/>
      <c r="AD11" s="27"/>
      <c r="AE11" s="27"/>
      <c r="AF11" s="30"/>
      <c r="AG11" s="30"/>
      <c r="AH11" s="30"/>
      <c r="AI11" s="30"/>
      <c r="AJ11" s="30"/>
      <c r="AK11" s="30"/>
      <c r="AL11" s="30"/>
      <c r="AM11" s="30"/>
      <c r="AN11" s="30"/>
      <c r="AO11" s="844"/>
      <c r="AP11" s="845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30"/>
      <c r="BK11" s="27"/>
    </row>
    <row r="12" spans="1:63">
      <c r="A12" s="869"/>
      <c r="B12" s="30"/>
      <c r="C12" s="30"/>
      <c r="D12" s="26">
        <v>8.32</v>
      </c>
      <c r="E12" s="26"/>
      <c r="F12" s="26">
        <v>2.5</v>
      </c>
      <c r="G12" s="65"/>
      <c r="H12" s="27"/>
      <c r="I12" s="26">
        <f>+(D12*F12)*2</f>
        <v>41.6</v>
      </c>
      <c r="J12" s="26"/>
      <c r="K12" s="27"/>
      <c r="L12" s="28"/>
      <c r="M12" s="28"/>
      <c r="N12" s="28"/>
      <c r="O12" s="29"/>
      <c r="P12" s="29"/>
      <c r="Q12" s="29"/>
      <c r="R12" s="29"/>
      <c r="S12" s="27"/>
      <c r="T12" s="27"/>
      <c r="U12" s="27"/>
      <c r="V12" s="27"/>
      <c r="W12" s="27"/>
      <c r="X12" s="26"/>
      <c r="Y12" s="26"/>
      <c r="Z12" s="26"/>
      <c r="AA12" s="26"/>
      <c r="AB12" s="26"/>
      <c r="AC12" s="27"/>
      <c r="AD12" s="27"/>
      <c r="AE12" s="27"/>
      <c r="AF12" s="30"/>
      <c r="AG12" s="30"/>
      <c r="AH12" s="30"/>
      <c r="AI12" s="30"/>
      <c r="AJ12" s="30"/>
      <c r="AK12" s="30"/>
      <c r="AL12" s="30"/>
      <c r="AM12" s="30"/>
      <c r="AN12" s="30"/>
      <c r="AO12" s="844"/>
      <c r="AP12" s="845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30"/>
      <c r="BK12" s="27"/>
    </row>
    <row r="13" spans="1:63">
      <c r="A13" s="869"/>
      <c r="B13" s="30"/>
      <c r="C13" s="30"/>
      <c r="D13" s="26">
        <v>50</v>
      </c>
      <c r="E13" s="26">
        <v>6.3</v>
      </c>
      <c r="F13" s="26">
        <v>0.18</v>
      </c>
      <c r="G13" s="26"/>
      <c r="H13" s="27"/>
      <c r="I13" s="26"/>
      <c r="J13" s="26">
        <f>+D13*E13*F13</f>
        <v>56.699999999999996</v>
      </c>
      <c r="K13" s="27">
        <f>+D13*E13</f>
        <v>315</v>
      </c>
      <c r="L13" s="28"/>
      <c r="M13" s="28"/>
      <c r="N13" s="28">
        <f>+D13*2+16</f>
        <v>116</v>
      </c>
      <c r="O13" s="29"/>
      <c r="P13" s="29"/>
      <c r="Q13" s="29"/>
      <c r="R13" s="29"/>
      <c r="S13" s="27"/>
      <c r="T13" s="27"/>
      <c r="U13" s="27"/>
      <c r="V13" s="27"/>
      <c r="W13" s="27"/>
      <c r="X13" s="26"/>
      <c r="Y13" s="26"/>
      <c r="Z13" s="26"/>
      <c r="AA13" s="26"/>
      <c r="AB13" s="26"/>
      <c r="AC13" s="27"/>
      <c r="AD13" s="27"/>
      <c r="AE13" s="27"/>
      <c r="AF13" s="30"/>
      <c r="AG13" s="30"/>
      <c r="AH13" s="30"/>
      <c r="AI13" s="30"/>
      <c r="AJ13" s="30"/>
      <c r="AK13" s="30"/>
      <c r="AL13" s="30"/>
      <c r="AM13" s="30"/>
      <c r="AN13" s="30"/>
      <c r="AO13" s="844"/>
      <c r="AP13" s="845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30"/>
      <c r="BK13" s="27"/>
    </row>
    <row r="14" spans="1:63">
      <c r="A14" s="869"/>
      <c r="B14" s="30" t="s">
        <v>98</v>
      </c>
      <c r="C14" s="30">
        <v>83</v>
      </c>
      <c r="D14" s="26">
        <v>12.8</v>
      </c>
      <c r="E14" s="26">
        <v>8.1</v>
      </c>
      <c r="F14" s="26">
        <v>3</v>
      </c>
      <c r="G14" s="26"/>
      <c r="H14" s="27"/>
      <c r="I14" s="26"/>
      <c r="J14" s="26"/>
      <c r="K14" s="27"/>
      <c r="L14" s="28"/>
      <c r="M14" s="28"/>
      <c r="N14" s="28">
        <f>+D14*2</f>
        <v>25.6</v>
      </c>
      <c r="O14" s="29"/>
      <c r="P14" s="29"/>
      <c r="Q14" s="29"/>
      <c r="R14" s="29"/>
      <c r="S14" s="27"/>
      <c r="T14" s="27"/>
      <c r="U14" s="27"/>
      <c r="V14" s="27"/>
      <c r="W14" s="27"/>
      <c r="X14" s="26"/>
      <c r="Y14" s="26"/>
      <c r="Z14" s="26"/>
      <c r="AA14" s="26"/>
      <c r="AB14" s="26"/>
      <c r="AC14" s="27"/>
      <c r="AD14" s="27"/>
      <c r="AE14" s="27"/>
      <c r="AF14" s="30">
        <f>+(D14*E14)*2</f>
        <v>207.36</v>
      </c>
      <c r="AG14" s="30">
        <f>+C14*2</f>
        <v>166</v>
      </c>
      <c r="AH14" s="30"/>
      <c r="AI14" s="30"/>
      <c r="AJ14" s="30"/>
      <c r="AK14" s="30"/>
      <c r="AL14" s="30"/>
      <c r="AM14" s="30"/>
      <c r="AN14" s="30"/>
      <c r="AO14" s="844"/>
      <c r="AP14" s="845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30"/>
      <c r="BK14" s="27"/>
    </row>
    <row r="15" spans="1:63">
      <c r="A15" s="869"/>
      <c r="B15" s="30"/>
      <c r="C15" s="30">
        <v>18</v>
      </c>
      <c r="D15" s="26">
        <v>7.6</v>
      </c>
      <c r="E15" s="26">
        <v>3.74</v>
      </c>
      <c r="F15" s="26"/>
      <c r="G15" s="26"/>
      <c r="H15" s="27"/>
      <c r="I15" s="26"/>
      <c r="J15" s="26"/>
      <c r="K15" s="27"/>
      <c r="L15" s="28"/>
      <c r="M15" s="28"/>
      <c r="N15" s="28"/>
      <c r="O15" s="29"/>
      <c r="P15" s="29"/>
      <c r="Q15" s="29"/>
      <c r="R15" s="29"/>
      <c r="S15" s="27"/>
      <c r="T15" s="27"/>
      <c r="U15" s="27"/>
      <c r="V15" s="27"/>
      <c r="W15" s="27"/>
      <c r="X15" s="26"/>
      <c r="Y15" s="26"/>
      <c r="Z15" s="26"/>
      <c r="AA15" s="26"/>
      <c r="AB15" s="26"/>
      <c r="AC15" s="27"/>
      <c r="AD15" s="27"/>
      <c r="AE15" s="27"/>
      <c r="AF15" s="30">
        <f t="shared" ref="AF15:AF17" si="0">+D15*E15</f>
        <v>28.423999999999999</v>
      </c>
      <c r="AG15" s="30">
        <f>+C15</f>
        <v>18</v>
      </c>
      <c r="AH15" s="30"/>
      <c r="AI15" s="30"/>
      <c r="AJ15" s="30"/>
      <c r="AK15" s="30"/>
      <c r="AL15" s="30"/>
      <c r="AM15" s="30"/>
      <c r="AN15" s="30"/>
      <c r="AO15" s="844"/>
      <c r="AP15" s="845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30"/>
      <c r="BK15" s="27"/>
    </row>
    <row r="16" spans="1:63">
      <c r="A16" s="869"/>
      <c r="B16" s="30"/>
      <c r="C16" s="30">
        <v>12</v>
      </c>
      <c r="D16" s="26">
        <v>7</v>
      </c>
      <c r="E16" s="26">
        <v>2.7</v>
      </c>
      <c r="F16" s="26"/>
      <c r="G16" s="26"/>
      <c r="H16" s="27"/>
      <c r="I16" s="26"/>
      <c r="J16" s="26"/>
      <c r="K16" s="27"/>
      <c r="L16" s="28"/>
      <c r="M16" s="28"/>
      <c r="N16" s="28"/>
      <c r="O16" s="29"/>
      <c r="P16" s="29"/>
      <c r="Q16" s="29"/>
      <c r="R16" s="29"/>
      <c r="S16" s="27"/>
      <c r="T16" s="27"/>
      <c r="U16" s="27"/>
      <c r="V16" s="27"/>
      <c r="W16" s="27"/>
      <c r="X16" s="26"/>
      <c r="Y16" s="26"/>
      <c r="Z16" s="26"/>
      <c r="AA16" s="26"/>
      <c r="AB16" s="26"/>
      <c r="AC16" s="27"/>
      <c r="AD16" s="27"/>
      <c r="AE16" s="27"/>
      <c r="AF16" s="30">
        <f t="shared" si="0"/>
        <v>18.900000000000002</v>
      </c>
      <c r="AG16" s="30">
        <f t="shared" ref="AG16:AG17" si="1">+C16</f>
        <v>12</v>
      </c>
      <c r="AH16" s="30"/>
      <c r="AI16" s="30"/>
      <c r="AJ16" s="30"/>
      <c r="AK16" s="30"/>
      <c r="AL16" s="30"/>
      <c r="AM16" s="30"/>
      <c r="AN16" s="30"/>
      <c r="AO16" s="844"/>
      <c r="AP16" s="845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30"/>
      <c r="BK16" s="27"/>
    </row>
    <row r="17" spans="1:63">
      <c r="A17" s="869"/>
      <c r="B17" s="30"/>
      <c r="C17" s="30">
        <v>30</v>
      </c>
      <c r="D17" s="26">
        <v>3</v>
      </c>
      <c r="E17" s="26">
        <v>3</v>
      </c>
      <c r="F17" s="26"/>
      <c r="G17" s="26"/>
      <c r="H17" s="27"/>
      <c r="I17" s="26"/>
      <c r="J17" s="26"/>
      <c r="K17" s="27"/>
      <c r="L17" s="28"/>
      <c r="M17" s="28"/>
      <c r="N17" s="28"/>
      <c r="O17" s="29"/>
      <c r="P17" s="29"/>
      <c r="Q17" s="29"/>
      <c r="R17" s="29"/>
      <c r="S17" s="27"/>
      <c r="T17" s="27"/>
      <c r="U17" s="27"/>
      <c r="V17" s="27"/>
      <c r="W17" s="27"/>
      <c r="X17" s="26"/>
      <c r="Y17" s="26"/>
      <c r="Z17" s="26"/>
      <c r="AA17" s="26"/>
      <c r="AB17" s="26"/>
      <c r="AC17" s="27"/>
      <c r="AD17" s="27"/>
      <c r="AE17" s="27"/>
      <c r="AF17" s="30">
        <f t="shared" si="0"/>
        <v>9</v>
      </c>
      <c r="AG17" s="30">
        <f t="shared" si="1"/>
        <v>30</v>
      </c>
      <c r="AH17" s="30"/>
      <c r="AI17" s="30"/>
      <c r="AJ17" s="30"/>
      <c r="AK17" s="30"/>
      <c r="AL17" s="30"/>
      <c r="AM17" s="30"/>
      <c r="AN17" s="30"/>
      <c r="AO17" s="844"/>
      <c r="AP17" s="845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30"/>
      <c r="BK17" s="27"/>
    </row>
    <row r="18" spans="1:63">
      <c r="A18" s="869"/>
      <c r="B18" s="30"/>
      <c r="C18" s="30"/>
      <c r="D18" s="26">
        <v>23</v>
      </c>
      <c r="E18" s="26">
        <v>10</v>
      </c>
      <c r="F18" s="26"/>
      <c r="G18" s="26">
        <v>10</v>
      </c>
      <c r="H18" s="27"/>
      <c r="I18" s="26"/>
      <c r="J18" s="26"/>
      <c r="K18" s="27"/>
      <c r="L18" s="28"/>
      <c r="M18" s="28"/>
      <c r="N18" s="28">
        <f>+D18*2</f>
        <v>46</v>
      </c>
      <c r="O18" s="29"/>
      <c r="P18" s="29"/>
      <c r="Q18" s="29"/>
      <c r="R18" s="29"/>
      <c r="S18" s="27"/>
      <c r="T18" s="27"/>
      <c r="U18" s="27"/>
      <c r="V18" s="27"/>
      <c r="W18" s="27"/>
      <c r="X18" s="26"/>
      <c r="Y18" s="26"/>
      <c r="Z18" s="26"/>
      <c r="AA18" s="26"/>
      <c r="AB18" s="26"/>
      <c r="AC18" s="27"/>
      <c r="AD18" s="27"/>
      <c r="AE18" s="27"/>
      <c r="AF18" s="30"/>
      <c r="AG18" s="30">
        <f>+D18*E18</f>
        <v>230</v>
      </c>
      <c r="AH18" s="30"/>
      <c r="AI18" s="30"/>
      <c r="AJ18" s="30"/>
      <c r="AK18" s="30"/>
      <c r="AL18" s="30">
        <f>+G18</f>
        <v>10</v>
      </c>
      <c r="AM18" s="30">
        <f>+G24</f>
        <v>4</v>
      </c>
      <c r="AN18" s="30"/>
      <c r="AO18" s="844"/>
      <c r="AP18" s="845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30">
        <f>+B7+K13</f>
        <v>973</v>
      </c>
      <c r="BK18" s="27"/>
    </row>
    <row r="19" spans="1:63">
      <c r="A19" s="869"/>
      <c r="B19" s="876"/>
      <c r="C19" s="877"/>
      <c r="D19" s="26">
        <v>12.35</v>
      </c>
      <c r="E19" s="26">
        <v>8.1</v>
      </c>
      <c r="F19" s="26"/>
      <c r="G19" s="26">
        <v>1</v>
      </c>
      <c r="H19" s="27"/>
      <c r="I19" s="26"/>
      <c r="J19" s="26"/>
      <c r="K19" s="27"/>
      <c r="L19" s="28"/>
      <c r="M19" s="28"/>
      <c r="N19" s="28"/>
      <c r="O19" s="29"/>
      <c r="P19" s="29"/>
      <c r="Q19" s="29"/>
      <c r="R19" s="29"/>
      <c r="S19" s="27"/>
      <c r="T19" s="27"/>
      <c r="U19" s="27"/>
      <c r="V19" s="27"/>
      <c r="W19" s="27"/>
      <c r="X19" s="26"/>
      <c r="Y19" s="26"/>
      <c r="Z19" s="26"/>
      <c r="AA19" s="26"/>
      <c r="AB19" s="26"/>
      <c r="AC19" s="27"/>
      <c r="AD19" s="27"/>
      <c r="AE19" s="27"/>
      <c r="AF19" s="30"/>
      <c r="AG19" s="30"/>
      <c r="AH19" s="30">
        <f>+(D19*E19)*2</f>
        <v>200.07</v>
      </c>
      <c r="AI19" s="30">
        <f>+(D19*E19)*2</f>
        <v>200.07</v>
      </c>
      <c r="AJ19" s="30">
        <f>+(D19*E19)*2</f>
        <v>200.07</v>
      </c>
      <c r="AK19" s="30"/>
      <c r="AL19" s="30"/>
      <c r="AM19" s="30"/>
      <c r="AN19" s="30"/>
      <c r="AO19" s="844"/>
      <c r="AP19" s="845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30"/>
      <c r="BK19" s="27"/>
    </row>
    <row r="20" spans="1:63">
      <c r="A20" s="869"/>
      <c r="B20" s="870"/>
      <c r="C20" s="870"/>
      <c r="D20" s="27">
        <v>7.6</v>
      </c>
      <c r="E20" s="27">
        <v>3.74</v>
      </c>
      <c r="F20" s="27"/>
      <c r="G20" s="26"/>
      <c r="H20" s="27"/>
      <c r="I20" s="55"/>
      <c r="J20" s="55"/>
      <c r="K20" s="28"/>
      <c r="L20" s="28"/>
      <c r="M20" s="28"/>
      <c r="N20" s="28"/>
      <c r="O20" s="30"/>
      <c r="P20" s="30"/>
      <c r="Q20" s="27"/>
      <c r="R20" s="27"/>
      <c r="S20" s="27"/>
      <c r="T20" s="27"/>
      <c r="U20" s="27"/>
      <c r="V20" s="27"/>
      <c r="W20" s="27"/>
      <c r="X20" s="26"/>
      <c r="Y20" s="26"/>
      <c r="Z20" s="26"/>
      <c r="AA20" s="26"/>
      <c r="AB20" s="26"/>
      <c r="AC20" s="27"/>
      <c r="AD20" s="27"/>
      <c r="AE20" s="27"/>
      <c r="AF20" s="30"/>
      <c r="AG20" s="30"/>
      <c r="AH20" s="30">
        <f>+(D20*E20)*2</f>
        <v>56.847999999999999</v>
      </c>
      <c r="AI20" s="30">
        <f t="shared" ref="AI20" si="2">+(D20*E20)*2</f>
        <v>56.847999999999999</v>
      </c>
      <c r="AJ20" s="30">
        <f t="shared" ref="AJ20" si="3">+(D20*E20)*2</f>
        <v>56.847999999999999</v>
      </c>
      <c r="AK20" s="30"/>
      <c r="AL20" s="30"/>
      <c r="AM20" s="30"/>
      <c r="AN20" s="30"/>
      <c r="AO20" s="844">
        <f>+G30</f>
        <v>2</v>
      </c>
      <c r="AP20" s="845"/>
      <c r="AQ20" s="57">
        <f>+G19</f>
        <v>1</v>
      </c>
      <c r="AR20" s="57">
        <f>+D29</f>
        <v>12</v>
      </c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30"/>
      <c r="BK20" s="27"/>
    </row>
    <row r="21" spans="1:63">
      <c r="A21" s="869"/>
      <c r="B21" s="30"/>
      <c r="C21" s="30"/>
      <c r="D21" s="34">
        <v>6</v>
      </c>
      <c r="E21" s="34">
        <v>2.7</v>
      </c>
      <c r="F21" s="27"/>
      <c r="G21" s="26"/>
      <c r="H21" s="29"/>
      <c r="I21" s="26"/>
      <c r="J21" s="26"/>
      <c r="K21" s="27"/>
      <c r="L21" s="27"/>
      <c r="M21" s="27"/>
      <c r="N21" s="27"/>
      <c r="O21" s="30"/>
      <c r="P21" s="30"/>
      <c r="Q21" s="27"/>
      <c r="R21" s="27"/>
      <c r="S21" s="27"/>
      <c r="T21" s="28"/>
      <c r="U21" s="27"/>
      <c r="V21" s="27"/>
      <c r="W21" s="27"/>
      <c r="X21" s="26"/>
      <c r="Y21" s="26"/>
      <c r="Z21" s="26"/>
      <c r="AA21" s="26"/>
      <c r="AB21" s="26"/>
      <c r="AC21" s="27"/>
      <c r="AD21" s="27"/>
      <c r="AE21" s="27"/>
      <c r="AF21" s="30"/>
      <c r="AG21" s="30"/>
      <c r="AH21" s="30">
        <f>+D21*E21</f>
        <v>16.200000000000003</v>
      </c>
      <c r="AI21" s="30">
        <f>+(D21*E21)</f>
        <v>16.200000000000003</v>
      </c>
      <c r="AJ21" s="30">
        <f>+(D21*E21)</f>
        <v>16.200000000000003</v>
      </c>
      <c r="AK21" s="30"/>
      <c r="AL21" s="30"/>
      <c r="AM21" s="30"/>
      <c r="AN21" s="30"/>
      <c r="AO21" s="844"/>
      <c r="AP21" s="845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30"/>
      <c r="BK21" s="27"/>
    </row>
    <row r="22" spans="1:63">
      <c r="A22" s="869"/>
      <c r="B22" s="30"/>
      <c r="C22" s="30"/>
      <c r="D22" s="27">
        <v>3</v>
      </c>
      <c r="E22" s="28">
        <v>3</v>
      </c>
      <c r="F22" s="27"/>
      <c r="G22" s="26"/>
      <c r="H22" s="30"/>
      <c r="I22" s="26"/>
      <c r="J22" s="26"/>
      <c r="K22" s="27"/>
      <c r="L22" s="27"/>
      <c r="M22" s="27"/>
      <c r="N22" s="27"/>
      <c r="O22" s="31"/>
      <c r="P22" s="31"/>
      <c r="Q22" s="34"/>
      <c r="R22" s="34"/>
      <c r="S22" s="31"/>
      <c r="T22" s="30"/>
      <c r="U22" s="31"/>
      <c r="V22" s="31"/>
      <c r="W22" s="31"/>
      <c r="X22" s="70"/>
      <c r="Y22" s="70"/>
      <c r="Z22" s="70"/>
      <c r="AA22" s="70"/>
      <c r="AB22" s="70"/>
      <c r="AC22" s="27"/>
      <c r="AD22" s="27"/>
      <c r="AE22" s="27"/>
      <c r="AF22" s="30"/>
      <c r="AG22" s="30"/>
      <c r="AH22" s="30">
        <f>+D22*E22</f>
        <v>9</v>
      </c>
      <c r="AI22" s="30">
        <f>+(D22*E22)</f>
        <v>9</v>
      </c>
      <c r="AJ22" s="30">
        <f>+(D22*E22)</f>
        <v>9</v>
      </c>
      <c r="AK22" s="30"/>
      <c r="AL22" s="30"/>
      <c r="AM22" s="30"/>
      <c r="AN22" s="30"/>
      <c r="AO22" s="844"/>
      <c r="AP22" s="845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30"/>
      <c r="BK22" s="30"/>
    </row>
    <row r="23" spans="1:63">
      <c r="A23" s="869"/>
      <c r="B23" s="30"/>
      <c r="C23" s="30"/>
      <c r="D23" s="27">
        <v>3</v>
      </c>
      <c r="E23" s="28">
        <v>2.4</v>
      </c>
      <c r="F23" s="27"/>
      <c r="G23" s="26"/>
      <c r="H23" s="30"/>
      <c r="I23" s="26"/>
      <c r="J23" s="26"/>
      <c r="K23" s="27"/>
      <c r="L23" s="27"/>
      <c r="M23" s="27"/>
      <c r="N23" s="27"/>
      <c r="O23" s="30"/>
      <c r="P23" s="30"/>
      <c r="Q23" s="27"/>
      <c r="R23" s="27"/>
      <c r="S23" s="30"/>
      <c r="T23" s="30"/>
      <c r="U23" s="30"/>
      <c r="V23" s="30"/>
      <c r="W23" s="30"/>
      <c r="X23" s="35"/>
      <c r="Y23" s="35"/>
      <c r="Z23" s="35"/>
      <c r="AA23" s="35"/>
      <c r="AB23" s="35"/>
      <c r="AC23" s="27"/>
      <c r="AD23" s="27"/>
      <c r="AE23" s="27"/>
      <c r="AF23" s="30"/>
      <c r="AG23" s="30"/>
      <c r="AH23" s="30"/>
      <c r="AI23" s="30"/>
      <c r="AJ23" s="30"/>
      <c r="AK23" s="30">
        <f>+(D23*E23)*12</f>
        <v>86.399999999999991</v>
      </c>
      <c r="AL23" s="30"/>
      <c r="AM23" s="31"/>
      <c r="AN23" s="31"/>
      <c r="AO23" s="844"/>
      <c r="AP23" s="845"/>
      <c r="AQ23" s="33"/>
      <c r="AR23" s="33"/>
      <c r="AS23" s="33"/>
      <c r="AT23" s="33"/>
      <c r="AU23" s="33">
        <f>+G24</f>
        <v>4</v>
      </c>
      <c r="AV23" s="33">
        <f>+G24</f>
        <v>4</v>
      </c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1"/>
      <c r="BK23" s="30"/>
    </row>
    <row r="24" spans="1:63">
      <c r="A24" s="869"/>
      <c r="B24" s="30"/>
      <c r="C24" s="30"/>
      <c r="D24" s="34">
        <f>3.7+3.7+2.6+2.6+2.5+2.5+3.5+3.5</f>
        <v>24.6</v>
      </c>
      <c r="E24" s="28"/>
      <c r="F24" s="34"/>
      <c r="G24" s="26">
        <v>4</v>
      </c>
      <c r="H24" s="31"/>
      <c r="I24" s="26"/>
      <c r="J24" s="26"/>
      <c r="K24" s="27"/>
      <c r="L24" s="27"/>
      <c r="M24" s="27"/>
      <c r="N24" s="27"/>
      <c r="O24" s="31"/>
      <c r="P24" s="31"/>
      <c r="Q24" s="34"/>
      <c r="R24" s="34"/>
      <c r="S24" s="29"/>
      <c r="T24" s="31"/>
      <c r="U24" s="31"/>
      <c r="V24" s="31"/>
      <c r="W24" s="31"/>
      <c r="X24" s="70"/>
      <c r="Y24" s="70"/>
      <c r="Z24" s="70"/>
      <c r="AA24" s="70"/>
      <c r="AB24" s="70"/>
      <c r="AC24" s="27"/>
      <c r="AD24" s="27"/>
      <c r="AE24" s="27"/>
      <c r="AF24" s="30"/>
      <c r="AG24" s="30"/>
      <c r="AH24" s="30"/>
      <c r="AI24" s="30"/>
      <c r="AJ24" s="30"/>
      <c r="AK24" s="30"/>
      <c r="AL24" s="30"/>
      <c r="AM24" s="29"/>
      <c r="AN24" s="29"/>
      <c r="AO24" s="844"/>
      <c r="AP24" s="845"/>
      <c r="AQ24" s="58"/>
      <c r="AR24" s="58"/>
      <c r="AS24" s="58"/>
      <c r="AT24" s="58"/>
      <c r="AU24" s="58"/>
      <c r="AV24" s="58"/>
      <c r="AW24" s="58">
        <f>+G25</f>
        <v>2</v>
      </c>
      <c r="AX24" s="58"/>
      <c r="AY24" s="58">
        <f>+D24</f>
        <v>24.6</v>
      </c>
      <c r="AZ24" s="58">
        <f>+G27</f>
        <v>6</v>
      </c>
      <c r="BA24" s="58"/>
      <c r="BB24" s="58">
        <f>+G28</f>
        <v>6</v>
      </c>
      <c r="BC24" s="58">
        <f>+G25</f>
        <v>2</v>
      </c>
      <c r="BD24" s="58">
        <f>+G24</f>
        <v>4</v>
      </c>
      <c r="BE24" s="58"/>
      <c r="BF24" s="58"/>
      <c r="BG24" s="58"/>
      <c r="BH24" s="58"/>
      <c r="BI24" s="58"/>
      <c r="BJ24" s="30"/>
      <c r="BK24" s="30"/>
    </row>
    <row r="25" spans="1:63">
      <c r="A25" s="869"/>
      <c r="B25" s="30"/>
      <c r="C25" s="30"/>
      <c r="D25" s="27">
        <f>20+11.5+21.5+7.45</f>
        <v>60.45</v>
      </c>
      <c r="E25" s="27"/>
      <c r="F25" s="27"/>
      <c r="G25" s="26">
        <v>2</v>
      </c>
      <c r="H25" s="30"/>
      <c r="I25" s="26"/>
      <c r="J25" s="26"/>
      <c r="K25" s="27"/>
      <c r="L25" s="27"/>
      <c r="M25" s="27"/>
      <c r="N25" s="27"/>
      <c r="O25" s="30"/>
      <c r="P25" s="30"/>
      <c r="Q25" s="27"/>
      <c r="R25" s="27"/>
      <c r="S25" s="30"/>
      <c r="T25" s="30"/>
      <c r="U25" s="30"/>
      <c r="V25" s="30"/>
      <c r="W25" s="30"/>
      <c r="X25" s="35"/>
      <c r="Y25" s="35"/>
      <c r="Z25" s="35"/>
      <c r="AA25" s="35"/>
      <c r="AB25" s="35"/>
      <c r="AC25" s="30"/>
      <c r="AD25" s="30"/>
      <c r="AE25" s="30"/>
      <c r="AF25" s="30"/>
      <c r="AG25" s="30"/>
      <c r="AH25" s="30"/>
      <c r="AI25" s="30">
        <f>+D25*E25</f>
        <v>0</v>
      </c>
      <c r="AJ25" s="30">
        <f>+D25*E25</f>
        <v>0</v>
      </c>
      <c r="AK25" s="30"/>
      <c r="AL25" s="30"/>
      <c r="AM25" s="30"/>
      <c r="AN25" s="30"/>
      <c r="AO25" s="844"/>
      <c r="AP25" s="845"/>
      <c r="AQ25" s="57"/>
      <c r="AR25" s="57"/>
      <c r="AS25" s="57"/>
      <c r="AT25" s="57"/>
      <c r="AU25" s="57"/>
      <c r="AV25" s="57"/>
      <c r="AW25" s="57"/>
      <c r="AX25" s="30">
        <f>+G26</f>
        <v>1</v>
      </c>
      <c r="AY25" s="57"/>
      <c r="AZ25" s="57"/>
      <c r="BA25" s="57">
        <f>+D25</f>
        <v>60.45</v>
      </c>
      <c r="BB25" s="57"/>
      <c r="BC25" s="57"/>
      <c r="BD25" s="57"/>
      <c r="BE25" s="57"/>
      <c r="BF25" s="57"/>
      <c r="BG25" s="57"/>
      <c r="BH25" s="57"/>
      <c r="BI25" s="57"/>
      <c r="BK25" s="30"/>
    </row>
    <row r="26" spans="1:63">
      <c r="A26" s="869"/>
      <c r="B26" s="30"/>
      <c r="C26" s="30"/>
      <c r="D26" s="27">
        <f>4+4+3+3+2.5+2.5+3.2+3.4+1.4</f>
        <v>26.999999999999996</v>
      </c>
      <c r="E26" s="27"/>
      <c r="F26" s="27"/>
      <c r="G26" s="26">
        <v>1</v>
      </c>
      <c r="H26" s="30"/>
      <c r="I26" s="26"/>
      <c r="J26" s="26"/>
      <c r="K26" s="27"/>
      <c r="L26" s="27"/>
      <c r="M26" s="27"/>
      <c r="N26" s="27"/>
      <c r="O26" s="30"/>
      <c r="P26" s="30"/>
      <c r="Q26" s="27"/>
      <c r="R26" s="27"/>
      <c r="S26" s="30"/>
      <c r="T26" s="30"/>
      <c r="U26" s="30"/>
      <c r="V26" s="30"/>
      <c r="W26" s="30"/>
      <c r="X26" s="35"/>
      <c r="Y26" s="35"/>
      <c r="Z26" s="35"/>
      <c r="AA26" s="35"/>
      <c r="AB26" s="35"/>
      <c r="AC26" s="30"/>
      <c r="AD26" s="30"/>
      <c r="AE26" s="30"/>
      <c r="AF26" s="30"/>
      <c r="AG26" s="30"/>
      <c r="AH26" s="30"/>
      <c r="AI26" s="30">
        <f t="shared" ref="AI26:AI27" si="4">+D26*E26</f>
        <v>0</v>
      </c>
      <c r="AJ26" s="30">
        <f t="shared" ref="AJ26:AJ27" si="5">+D26*E26</f>
        <v>0</v>
      </c>
      <c r="AK26" s="30"/>
      <c r="AL26" s="30"/>
      <c r="AM26" s="30"/>
      <c r="AN26" s="30"/>
      <c r="AO26" s="844"/>
      <c r="AP26" s="845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>
        <f>+D26</f>
        <v>26.999999999999996</v>
      </c>
      <c r="BF26" s="57"/>
      <c r="BG26" s="57"/>
      <c r="BH26" s="57"/>
      <c r="BI26" s="57"/>
      <c r="BJ26" s="30"/>
      <c r="BK26" s="30"/>
    </row>
    <row r="27" spans="1:63">
      <c r="A27" s="869"/>
      <c r="B27" s="30"/>
      <c r="C27" s="30"/>
      <c r="D27" s="34">
        <f>21+11.5+20</f>
        <v>52.5</v>
      </c>
      <c r="E27" s="34"/>
      <c r="F27" s="34"/>
      <c r="G27" s="26">
        <v>6</v>
      </c>
      <c r="H27" s="31"/>
      <c r="I27" s="50"/>
      <c r="J27" s="50"/>
      <c r="K27" s="34"/>
      <c r="L27" s="34"/>
      <c r="M27" s="34"/>
      <c r="N27" s="34"/>
      <c r="O27" s="31"/>
      <c r="P27" s="31"/>
      <c r="Q27" s="34"/>
      <c r="R27" s="34"/>
      <c r="S27" s="31"/>
      <c r="T27" s="31"/>
      <c r="U27" s="31"/>
      <c r="V27" s="31"/>
      <c r="W27" s="31"/>
      <c r="X27" s="70"/>
      <c r="Y27" s="70"/>
      <c r="Z27" s="70"/>
      <c r="AA27" s="70"/>
      <c r="AB27" s="70"/>
      <c r="AC27" s="31"/>
      <c r="AD27" s="31"/>
      <c r="AE27" s="31"/>
      <c r="AF27" s="29"/>
      <c r="AG27" s="31"/>
      <c r="AH27" s="30"/>
      <c r="AI27" s="30">
        <f t="shared" si="4"/>
        <v>0</v>
      </c>
      <c r="AJ27" s="30">
        <f t="shared" si="5"/>
        <v>0</v>
      </c>
      <c r="AK27" s="31"/>
      <c r="AL27" s="31"/>
      <c r="AM27" s="31"/>
      <c r="AN27" s="31"/>
      <c r="AO27" s="844"/>
      <c r="AP27" s="845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>
        <f>+D27</f>
        <v>52.5</v>
      </c>
      <c r="BG27" s="33"/>
      <c r="BH27" s="33"/>
      <c r="BI27" s="33">
        <f>+G27</f>
        <v>6</v>
      </c>
      <c r="BJ27" s="31"/>
      <c r="BK27" s="29"/>
    </row>
    <row r="28" spans="1:63">
      <c r="A28" s="869"/>
      <c r="B28" s="30"/>
      <c r="C28" s="30"/>
      <c r="D28" s="27">
        <v>20</v>
      </c>
      <c r="E28" s="27"/>
      <c r="F28" s="27"/>
      <c r="G28" s="26">
        <v>6</v>
      </c>
      <c r="H28" s="30"/>
      <c r="I28" s="26"/>
      <c r="J28" s="26"/>
      <c r="K28" s="27"/>
      <c r="L28" s="27"/>
      <c r="M28" s="27"/>
      <c r="N28" s="27"/>
      <c r="O28" s="30"/>
      <c r="P28" s="30"/>
      <c r="Q28" s="27"/>
      <c r="R28" s="27"/>
      <c r="S28" s="30"/>
      <c r="T28" s="30"/>
      <c r="U28" s="30"/>
      <c r="V28" s="30"/>
      <c r="W28" s="30"/>
      <c r="X28" s="35"/>
      <c r="Y28" s="35"/>
      <c r="Z28" s="35"/>
      <c r="AA28" s="35"/>
      <c r="AB28" s="35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844"/>
      <c r="AP28" s="845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>
        <f>+D28</f>
        <v>20</v>
      </c>
      <c r="BH28" s="57"/>
      <c r="BI28" s="57"/>
      <c r="BJ28" s="30"/>
      <c r="BK28" s="30"/>
    </row>
    <row r="29" spans="1:63">
      <c r="A29" s="869"/>
      <c r="B29" s="30"/>
      <c r="C29" s="30"/>
      <c r="D29" s="27">
        <v>12</v>
      </c>
      <c r="E29" s="27"/>
      <c r="F29" s="27"/>
      <c r="G29" s="26"/>
      <c r="H29" s="30"/>
      <c r="I29" s="26"/>
      <c r="J29" s="26"/>
      <c r="K29" s="27"/>
      <c r="L29" s="27"/>
      <c r="M29" s="27"/>
      <c r="N29" s="27"/>
      <c r="O29" s="30"/>
      <c r="P29" s="30"/>
      <c r="Q29" s="27"/>
      <c r="R29" s="27"/>
      <c r="S29" s="30"/>
      <c r="T29" s="30"/>
      <c r="U29" s="30"/>
      <c r="V29" s="30"/>
      <c r="W29" s="30"/>
      <c r="X29" s="35"/>
      <c r="Y29" s="35"/>
      <c r="Z29" s="35"/>
      <c r="AA29" s="35"/>
      <c r="AB29" s="35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844"/>
      <c r="AP29" s="845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>
        <f>+D29</f>
        <v>12</v>
      </c>
      <c r="BI29" s="57"/>
      <c r="BJ29" s="30"/>
      <c r="BK29" s="30"/>
    </row>
    <row r="30" spans="1:63">
      <c r="A30" s="869"/>
      <c r="B30" s="30"/>
      <c r="C30" s="30"/>
      <c r="D30" s="27">
        <v>8.32</v>
      </c>
      <c r="E30" s="27"/>
      <c r="F30" s="27">
        <v>5</v>
      </c>
      <c r="G30" s="26">
        <v>2</v>
      </c>
      <c r="H30" s="30"/>
      <c r="I30" s="26"/>
      <c r="J30" s="26"/>
      <c r="K30" s="27"/>
      <c r="L30" s="27"/>
      <c r="M30" s="27"/>
      <c r="N30" s="27"/>
      <c r="O30" s="30"/>
      <c r="P30" s="30"/>
      <c r="Q30" s="27"/>
      <c r="R30" s="27"/>
      <c r="S30" s="30"/>
      <c r="T30" s="30"/>
      <c r="U30" s="30"/>
      <c r="V30" s="30"/>
      <c r="W30" s="30"/>
      <c r="X30" s="35"/>
      <c r="Y30" s="35"/>
      <c r="Z30" s="35"/>
      <c r="AA30" s="35"/>
      <c r="AB30" s="35"/>
      <c r="AC30" s="30">
        <f>+(D30*F30)*G30</f>
        <v>83.2</v>
      </c>
      <c r="AD30" s="30">
        <f>+(D30*F30)*4</f>
        <v>166.4</v>
      </c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59"/>
      <c r="AP30" s="57"/>
      <c r="AQ30" s="57"/>
      <c r="AR30" s="57"/>
      <c r="AS30" s="30">
        <f>+(D30*F30)*4</f>
        <v>166.4</v>
      </c>
      <c r="AT30" s="57">
        <f>+AS30</f>
        <v>166.4</v>
      </c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30"/>
      <c r="BK30" s="30"/>
    </row>
    <row r="31" spans="1:63">
      <c r="A31" s="869"/>
      <c r="B31" s="30"/>
      <c r="C31" s="30"/>
      <c r="D31" s="27">
        <v>6.1</v>
      </c>
      <c r="E31" s="27"/>
      <c r="F31" s="27">
        <v>5</v>
      </c>
      <c r="G31" s="26">
        <v>2</v>
      </c>
      <c r="H31" s="30"/>
      <c r="I31" s="26"/>
      <c r="J31" s="26"/>
      <c r="K31" s="27"/>
      <c r="L31" s="27"/>
      <c r="M31" s="27"/>
      <c r="N31" s="27"/>
      <c r="O31" s="30"/>
      <c r="P31" s="30"/>
      <c r="Q31" s="27"/>
      <c r="R31" s="27"/>
      <c r="S31" s="30"/>
      <c r="T31" s="30"/>
      <c r="U31" s="30"/>
      <c r="V31" s="30"/>
      <c r="W31" s="30"/>
      <c r="X31" s="35"/>
      <c r="Y31" s="35"/>
      <c r="Z31" s="35"/>
      <c r="AA31" s="35"/>
      <c r="AB31" s="35"/>
      <c r="AC31" s="30">
        <f t="shared" ref="AC31:AC36" si="6">+(D31*F31)*G31</f>
        <v>61</v>
      </c>
      <c r="AD31" s="30">
        <f t="shared" ref="AD31:AD36" si="7">+(D31*F31)*4</f>
        <v>122</v>
      </c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59"/>
      <c r="AP31" s="57"/>
      <c r="AQ31" s="57"/>
      <c r="AR31" s="57"/>
      <c r="AS31" s="30">
        <f>+(D31*F31)*4</f>
        <v>122</v>
      </c>
      <c r="AT31" s="57">
        <f t="shared" ref="AT31:AT38" si="8">+AS31</f>
        <v>122</v>
      </c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30"/>
      <c r="BK31" s="30"/>
    </row>
    <row r="32" spans="1:63">
      <c r="A32" s="869"/>
      <c r="B32" s="30"/>
      <c r="C32" s="30"/>
      <c r="D32" s="27">
        <v>7.6</v>
      </c>
      <c r="E32" s="27"/>
      <c r="F32" s="27">
        <v>2.4</v>
      </c>
      <c r="G32" s="26">
        <v>2</v>
      </c>
      <c r="H32" s="30"/>
      <c r="I32" s="26"/>
      <c r="J32" s="26"/>
      <c r="K32" s="27"/>
      <c r="L32" s="27"/>
      <c r="M32" s="27"/>
      <c r="N32" s="27"/>
      <c r="O32" s="30"/>
      <c r="P32" s="30"/>
      <c r="Q32" s="27"/>
      <c r="R32" s="27"/>
      <c r="S32" s="30"/>
      <c r="T32" s="30"/>
      <c r="U32" s="30"/>
      <c r="V32" s="30"/>
      <c r="W32" s="30"/>
      <c r="X32" s="35"/>
      <c r="Y32" s="35"/>
      <c r="Z32" s="35"/>
      <c r="AA32" s="35"/>
      <c r="AB32" s="35"/>
      <c r="AC32" s="30">
        <f t="shared" si="6"/>
        <v>36.479999999999997</v>
      </c>
      <c r="AD32" s="30">
        <f t="shared" si="7"/>
        <v>72.959999999999994</v>
      </c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59"/>
      <c r="AP32" s="57"/>
      <c r="AQ32" s="57"/>
      <c r="AR32" s="57"/>
      <c r="AS32" s="30">
        <f>+(D32*F32)*4</f>
        <v>72.959999999999994</v>
      </c>
      <c r="AT32" s="57">
        <f t="shared" si="8"/>
        <v>72.959999999999994</v>
      </c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30"/>
      <c r="BK32" s="30"/>
    </row>
    <row r="33" spans="1:63">
      <c r="A33" s="869"/>
      <c r="B33" s="30"/>
      <c r="C33" s="30"/>
      <c r="D33" s="27">
        <v>3.74</v>
      </c>
      <c r="E33" s="27"/>
      <c r="F33" s="27">
        <v>2.4</v>
      </c>
      <c r="G33" s="26">
        <v>2</v>
      </c>
      <c r="H33" s="30"/>
      <c r="I33" s="26"/>
      <c r="J33" s="26"/>
      <c r="K33" s="27"/>
      <c r="L33" s="27"/>
      <c r="M33" s="27"/>
      <c r="N33" s="27"/>
      <c r="O33" s="30"/>
      <c r="P33" s="30"/>
      <c r="Q33" s="27"/>
      <c r="R33" s="27"/>
      <c r="S33" s="30"/>
      <c r="T33" s="30"/>
      <c r="U33" s="30"/>
      <c r="V33" s="30"/>
      <c r="W33" s="30"/>
      <c r="X33" s="35"/>
      <c r="Y33" s="35"/>
      <c r="Z33" s="35"/>
      <c r="AA33" s="35"/>
      <c r="AB33" s="35"/>
      <c r="AC33" s="30">
        <f t="shared" si="6"/>
        <v>17.952000000000002</v>
      </c>
      <c r="AD33" s="30">
        <f>+(D33*F33)</f>
        <v>8.9760000000000009</v>
      </c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59"/>
      <c r="AP33" s="57"/>
      <c r="AQ33" s="57"/>
      <c r="AR33" s="57"/>
      <c r="AS33" s="30">
        <f>+(D33*F33)*2</f>
        <v>17.952000000000002</v>
      </c>
      <c r="AT33" s="57">
        <f t="shared" si="8"/>
        <v>17.952000000000002</v>
      </c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30"/>
      <c r="BK33" s="30"/>
    </row>
    <row r="34" spans="1:63">
      <c r="A34" s="869"/>
      <c r="B34" s="30"/>
      <c r="C34" s="30"/>
      <c r="D34" s="27">
        <v>6.3</v>
      </c>
      <c r="E34" s="27"/>
      <c r="F34" s="27">
        <v>4.8</v>
      </c>
      <c r="G34" s="26"/>
      <c r="H34" s="30"/>
      <c r="I34" s="26"/>
      <c r="J34" s="26"/>
      <c r="K34" s="27"/>
      <c r="L34" s="27"/>
      <c r="M34" s="27"/>
      <c r="N34" s="27"/>
      <c r="O34" s="30"/>
      <c r="P34" s="30"/>
      <c r="Q34" s="27"/>
      <c r="R34" s="27"/>
      <c r="S34" s="30"/>
      <c r="T34" s="30"/>
      <c r="U34" s="30"/>
      <c r="V34" s="30"/>
      <c r="W34" s="30"/>
      <c r="X34" s="35"/>
      <c r="Y34" s="35"/>
      <c r="Z34" s="35"/>
      <c r="AA34" s="35"/>
      <c r="AB34" s="35"/>
      <c r="AC34" s="30">
        <f>+(D34*F34)</f>
        <v>30.24</v>
      </c>
      <c r="AD34" s="30">
        <f>+(D34*F34)*2</f>
        <v>60.48</v>
      </c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59"/>
      <c r="AP34" s="57"/>
      <c r="AQ34" s="57"/>
      <c r="AR34" s="57"/>
      <c r="AS34" s="30">
        <f>+(D34*F34)*4</f>
        <v>120.96</v>
      </c>
      <c r="AT34" s="57">
        <f t="shared" si="8"/>
        <v>120.96</v>
      </c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30"/>
      <c r="BK34" s="30"/>
    </row>
    <row r="35" spans="1:63">
      <c r="A35" s="869"/>
      <c r="B35" s="30"/>
      <c r="C35" s="30"/>
      <c r="D35" s="27">
        <v>3.5</v>
      </c>
      <c r="E35" s="27"/>
      <c r="F35" s="27">
        <v>4.8</v>
      </c>
      <c r="G35" s="26"/>
      <c r="H35" s="30"/>
      <c r="I35" s="26"/>
      <c r="J35" s="26"/>
      <c r="K35" s="27"/>
      <c r="L35" s="27"/>
      <c r="M35" s="27"/>
      <c r="N35" s="27"/>
      <c r="O35" s="30"/>
      <c r="P35" s="30"/>
      <c r="Q35" s="27"/>
      <c r="R35" s="27"/>
      <c r="S35" s="30"/>
      <c r="T35" s="30"/>
      <c r="U35" s="30"/>
      <c r="V35" s="30"/>
      <c r="W35" s="30"/>
      <c r="X35" s="35"/>
      <c r="Y35" s="35"/>
      <c r="Z35" s="35"/>
      <c r="AA35" s="35"/>
      <c r="AB35" s="35"/>
      <c r="AC35" s="30">
        <f>+(D35*F35)</f>
        <v>16.8</v>
      </c>
      <c r="AD35" s="30">
        <f>+(D35*F35)*2</f>
        <v>33.6</v>
      </c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59"/>
      <c r="AP35" s="57"/>
      <c r="AQ35" s="57"/>
      <c r="AR35" s="57"/>
      <c r="AS35" s="30">
        <f>+(D35*F35)*4</f>
        <v>67.2</v>
      </c>
      <c r="AT35" s="57">
        <f t="shared" si="8"/>
        <v>67.2</v>
      </c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30"/>
      <c r="BK35" s="30"/>
    </row>
    <row r="36" spans="1:63">
      <c r="A36" s="869"/>
      <c r="B36" s="30"/>
      <c r="C36" s="30"/>
      <c r="D36" s="27">
        <v>2.2999999999999998</v>
      </c>
      <c r="E36" s="27"/>
      <c r="F36" s="27">
        <v>4.8</v>
      </c>
      <c r="G36" s="26">
        <v>2</v>
      </c>
      <c r="H36" s="30"/>
      <c r="I36" s="26"/>
      <c r="J36" s="26"/>
      <c r="K36" s="27"/>
      <c r="L36" s="27"/>
      <c r="M36" s="27"/>
      <c r="N36" s="27"/>
      <c r="O36" s="30"/>
      <c r="P36" s="30"/>
      <c r="Q36" s="27"/>
      <c r="R36" s="27"/>
      <c r="S36" s="30"/>
      <c r="T36" s="30"/>
      <c r="U36" s="30"/>
      <c r="V36" s="30"/>
      <c r="W36" s="30"/>
      <c r="X36" s="35"/>
      <c r="Y36" s="35"/>
      <c r="Z36" s="35"/>
      <c r="AA36" s="35"/>
      <c r="AB36" s="35"/>
      <c r="AC36" s="30">
        <f t="shared" si="6"/>
        <v>22.08</v>
      </c>
      <c r="AD36" s="30">
        <f t="shared" si="7"/>
        <v>44.16</v>
      </c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59"/>
      <c r="AP36" s="57"/>
      <c r="AQ36" s="57"/>
      <c r="AR36" s="57"/>
      <c r="AS36" s="30">
        <f>+(D36*F36)*4</f>
        <v>44.16</v>
      </c>
      <c r="AT36" s="57">
        <f t="shared" si="8"/>
        <v>44.16</v>
      </c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30"/>
      <c r="BK36" s="30"/>
    </row>
    <row r="37" spans="1:63">
      <c r="A37" s="869"/>
      <c r="B37" s="30"/>
      <c r="C37" s="30"/>
      <c r="D37" s="27">
        <v>17.399999999999999</v>
      </c>
      <c r="E37" s="27"/>
      <c r="F37" s="27">
        <v>2.4</v>
      </c>
      <c r="G37" s="26"/>
      <c r="H37" s="30"/>
      <c r="I37" s="26"/>
      <c r="J37" s="26"/>
      <c r="K37" s="27"/>
      <c r="L37" s="27"/>
      <c r="M37" s="27"/>
      <c r="N37" s="27"/>
      <c r="O37" s="30"/>
      <c r="P37" s="30"/>
      <c r="Q37" s="27"/>
      <c r="R37" s="27"/>
      <c r="S37" s="30"/>
      <c r="T37" s="30"/>
      <c r="U37" s="30"/>
      <c r="V37" s="30"/>
      <c r="W37" s="30"/>
      <c r="X37" s="35"/>
      <c r="Y37" s="35"/>
      <c r="Z37" s="35"/>
      <c r="AA37" s="35"/>
      <c r="AB37" s="35"/>
      <c r="AC37" s="30">
        <f>+(D37*F37)</f>
        <v>41.76</v>
      </c>
      <c r="AD37" s="30">
        <f>+(D37*F37)*2</f>
        <v>83.52</v>
      </c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59"/>
      <c r="AP37" s="57"/>
      <c r="AQ37" s="57"/>
      <c r="AR37" s="57"/>
      <c r="AS37" s="30">
        <f>+(D37*F37)*2</f>
        <v>83.52</v>
      </c>
      <c r="AT37" s="57">
        <f t="shared" si="8"/>
        <v>83.52</v>
      </c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30"/>
      <c r="BK37" s="30"/>
    </row>
    <row r="38" spans="1:63">
      <c r="A38" s="869"/>
      <c r="B38" s="30"/>
      <c r="C38" s="30"/>
      <c r="D38" s="27">
        <v>12</v>
      </c>
      <c r="E38" s="27"/>
      <c r="F38" s="27">
        <v>2.4</v>
      </c>
      <c r="G38" s="26"/>
      <c r="H38" s="30"/>
      <c r="I38" s="26"/>
      <c r="J38" s="26"/>
      <c r="K38" s="27"/>
      <c r="L38" s="27"/>
      <c r="M38" s="27"/>
      <c r="N38" s="27"/>
      <c r="O38" s="30"/>
      <c r="P38" s="30"/>
      <c r="Q38" s="27"/>
      <c r="R38" s="27"/>
      <c r="S38" s="30"/>
      <c r="T38" s="30"/>
      <c r="U38" s="30"/>
      <c r="V38" s="30"/>
      <c r="W38" s="30"/>
      <c r="X38" s="35"/>
      <c r="Y38" s="35"/>
      <c r="Z38" s="35"/>
      <c r="AA38" s="35"/>
      <c r="AB38" s="35"/>
      <c r="AC38" s="30">
        <f>+(D38*F38)</f>
        <v>28.799999999999997</v>
      </c>
      <c r="AD38" s="30">
        <f>+(D38*F38)*2</f>
        <v>57.599999999999994</v>
      </c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59"/>
      <c r="AP38" s="57"/>
      <c r="AQ38" s="57"/>
      <c r="AR38" s="57"/>
      <c r="AS38" s="30">
        <f>+(D38*F38)*2</f>
        <v>57.599999999999994</v>
      </c>
      <c r="AT38" s="57">
        <f t="shared" si="8"/>
        <v>57.599999999999994</v>
      </c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30"/>
      <c r="BK38" s="30"/>
    </row>
    <row r="39" spans="1:63">
      <c r="A39" s="869"/>
      <c r="B39" s="30"/>
      <c r="C39" s="30"/>
      <c r="D39" s="27">
        <v>10</v>
      </c>
      <c r="E39" s="27"/>
      <c r="F39" s="27"/>
      <c r="G39" s="26"/>
      <c r="H39" s="30"/>
      <c r="I39" s="26"/>
      <c r="J39" s="26"/>
      <c r="K39" s="27"/>
      <c r="L39" s="27"/>
      <c r="M39" s="27"/>
      <c r="N39" s="27"/>
      <c r="O39" s="30"/>
      <c r="P39" s="30"/>
      <c r="Q39" s="27"/>
      <c r="R39" s="27"/>
      <c r="S39" s="30"/>
      <c r="T39" s="30"/>
      <c r="U39" s="30"/>
      <c r="V39" s="30"/>
      <c r="W39" s="30"/>
      <c r="X39" s="35"/>
      <c r="Y39" s="35"/>
      <c r="Z39" s="35"/>
      <c r="AA39" s="35"/>
      <c r="AB39" s="35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59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30"/>
      <c r="BK39" s="30"/>
    </row>
    <row r="40" spans="1:63">
      <c r="A40" s="869"/>
      <c r="B40" s="30"/>
      <c r="C40" s="30"/>
      <c r="D40" s="27">
        <v>0.8</v>
      </c>
      <c r="E40" s="27">
        <v>0.8</v>
      </c>
      <c r="F40" s="27">
        <v>1.25</v>
      </c>
      <c r="G40" s="65">
        <v>10</v>
      </c>
      <c r="H40" s="30"/>
      <c r="I40" s="26"/>
      <c r="J40" s="26"/>
      <c r="K40" s="27"/>
      <c r="L40" s="27"/>
      <c r="M40" s="27"/>
      <c r="N40" s="27"/>
      <c r="O40" s="30">
        <f>+(D40*E40*F40)*G40</f>
        <v>8.0000000000000018</v>
      </c>
      <c r="P40" s="30"/>
      <c r="Q40" s="27">
        <f t="shared" ref="Q40:Q41" si="9">+(D40*E40*0.05)*G40</f>
        <v>0.32000000000000006</v>
      </c>
      <c r="R40" s="27">
        <f>+(E40*F40*0.3)*G40</f>
        <v>3</v>
      </c>
      <c r="S40" s="30"/>
      <c r="T40" s="30">
        <f>+(D40*E40*0.5)*G40</f>
        <v>3.2000000000000006</v>
      </c>
      <c r="U40" s="30">
        <f>+(0.3*0.3*0.3)*G40</f>
        <v>0.27</v>
      </c>
      <c r="V40" s="30"/>
      <c r="W40" s="30"/>
      <c r="X40" s="35">
        <f>+(5*0.3*0.3)*G40</f>
        <v>4.5</v>
      </c>
      <c r="Y40" s="35"/>
      <c r="Z40" s="35"/>
      <c r="AA40" s="35"/>
      <c r="AB40" s="35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59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30"/>
      <c r="BK40" s="30"/>
    </row>
    <row r="41" spans="1:63">
      <c r="A41" s="869"/>
      <c r="B41" s="30"/>
      <c r="C41" s="30"/>
      <c r="D41" s="27">
        <v>0.8</v>
      </c>
      <c r="E41" s="27">
        <v>0.8</v>
      </c>
      <c r="F41" s="27">
        <v>1.25</v>
      </c>
      <c r="G41" s="65">
        <v>9</v>
      </c>
      <c r="H41" s="30"/>
      <c r="I41" s="26"/>
      <c r="J41" s="26"/>
      <c r="K41" s="27"/>
      <c r="L41" s="27"/>
      <c r="M41" s="27"/>
      <c r="N41" s="27"/>
      <c r="O41" s="30">
        <f t="shared" ref="O41:O45" si="10">+(D41*E41*F41)*G41</f>
        <v>7.2000000000000011</v>
      </c>
      <c r="P41" s="30"/>
      <c r="Q41" s="27">
        <f t="shared" si="9"/>
        <v>0.28800000000000009</v>
      </c>
      <c r="R41" s="27">
        <f t="shared" ref="R41:R45" si="11">+(E41*F41*0.3)*G41</f>
        <v>2.6999999999999997</v>
      </c>
      <c r="S41" s="30"/>
      <c r="T41" s="30">
        <f>+(D41*E41*0.5)*G41</f>
        <v>2.8800000000000008</v>
      </c>
      <c r="U41" s="30">
        <f t="shared" ref="U41:U45" si="12">+(0.3*0.3*0.3)*G41</f>
        <v>0.24299999999999999</v>
      </c>
      <c r="V41" s="30"/>
      <c r="W41" s="30"/>
      <c r="X41" s="35">
        <f>+(3*0.25*0.25)*G41</f>
        <v>1.6875</v>
      </c>
      <c r="Y41" s="35"/>
      <c r="Z41" s="35"/>
      <c r="AA41" s="35"/>
      <c r="AB41" s="35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59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30"/>
      <c r="BK41" s="30"/>
    </row>
    <row r="42" spans="1:63">
      <c r="A42" s="869"/>
      <c r="B42" s="30"/>
      <c r="C42" s="30"/>
      <c r="D42" s="27">
        <v>19.7</v>
      </c>
      <c r="E42" s="27">
        <v>0.3</v>
      </c>
      <c r="F42" s="27">
        <v>0.3</v>
      </c>
      <c r="G42" s="65">
        <v>12</v>
      </c>
      <c r="H42" s="30"/>
      <c r="I42" s="26"/>
      <c r="J42" s="26"/>
      <c r="K42" s="27"/>
      <c r="L42" s="27"/>
      <c r="M42" s="27"/>
      <c r="N42" s="27"/>
      <c r="O42" s="30">
        <f t="shared" si="10"/>
        <v>21.275999999999996</v>
      </c>
      <c r="P42" s="30"/>
      <c r="Q42" s="27">
        <f>+(D42*E42*0.05)*G42</f>
        <v>3.5459999999999998</v>
      </c>
      <c r="R42" s="27">
        <f t="shared" si="11"/>
        <v>0.32400000000000001</v>
      </c>
      <c r="S42" s="30"/>
      <c r="T42" s="30"/>
      <c r="U42" s="30"/>
      <c r="V42" s="30"/>
      <c r="W42" s="30"/>
      <c r="X42" s="35"/>
      <c r="Y42" s="35"/>
      <c r="Z42" s="35"/>
      <c r="AA42" s="35">
        <f>+(3.1415*0.15*0.15*5)*G42</f>
        <v>4.2410250000000005</v>
      </c>
      <c r="AB42" s="35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59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30"/>
      <c r="BK42" s="30"/>
    </row>
    <row r="43" spans="1:63">
      <c r="A43" s="869"/>
      <c r="B43" s="30"/>
      <c r="C43" s="30"/>
      <c r="D43" s="27">
        <v>0.5</v>
      </c>
      <c r="E43" s="27">
        <v>0.5</v>
      </c>
      <c r="F43" s="27">
        <v>0.8</v>
      </c>
      <c r="G43" s="65">
        <v>7</v>
      </c>
      <c r="H43" s="30"/>
      <c r="I43" s="26"/>
      <c r="J43" s="26"/>
      <c r="K43" s="27"/>
      <c r="L43" s="27"/>
      <c r="M43" s="27"/>
      <c r="N43" s="27"/>
      <c r="O43" s="30">
        <f t="shared" si="10"/>
        <v>1.4000000000000001</v>
      </c>
      <c r="P43" s="30"/>
      <c r="Q43" s="27">
        <f>+(D43*E43*0.05)*G43</f>
        <v>8.7500000000000008E-2</v>
      </c>
      <c r="R43" s="27">
        <f t="shared" si="11"/>
        <v>0.84</v>
      </c>
      <c r="S43" s="30"/>
      <c r="T43" s="30">
        <f>+(D43*E43*0.35)*G43</f>
        <v>0.61249999999999993</v>
      </c>
      <c r="U43" s="30">
        <f t="shared" si="12"/>
        <v>0.189</v>
      </c>
      <c r="V43" s="30"/>
      <c r="W43" s="30"/>
      <c r="X43" s="35">
        <f>+(3*0.25*0.25)*G43</f>
        <v>1.3125</v>
      </c>
      <c r="Y43" s="35"/>
      <c r="Z43" s="35"/>
      <c r="AA43" s="35"/>
      <c r="AB43" s="35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59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30"/>
      <c r="BK43" s="30"/>
    </row>
    <row r="44" spans="1:63">
      <c r="A44" s="869"/>
      <c r="B44" s="30"/>
      <c r="C44" s="30"/>
      <c r="D44" s="27">
        <v>0.6</v>
      </c>
      <c r="E44" s="27">
        <v>0.6</v>
      </c>
      <c r="F44" s="27">
        <v>1.25</v>
      </c>
      <c r="G44" s="65">
        <v>4</v>
      </c>
      <c r="H44" s="30"/>
      <c r="I44" s="26"/>
      <c r="J44" s="26"/>
      <c r="K44" s="27"/>
      <c r="L44" s="27"/>
      <c r="M44" s="27"/>
      <c r="N44" s="27"/>
      <c r="O44" s="30">
        <f t="shared" si="10"/>
        <v>1.7999999999999998</v>
      </c>
      <c r="P44" s="30"/>
      <c r="Q44" s="27">
        <f>+(D44*E44*0.05)*G44</f>
        <v>7.1999999999999995E-2</v>
      </c>
      <c r="R44" s="27">
        <f t="shared" si="11"/>
        <v>0.89999999999999991</v>
      </c>
      <c r="S44" s="30"/>
      <c r="T44" s="30">
        <f>+(D44*E44*0.35)*G44</f>
        <v>0.504</v>
      </c>
      <c r="U44" s="30">
        <f t="shared" si="12"/>
        <v>0.108</v>
      </c>
      <c r="V44" s="30"/>
      <c r="W44" s="30"/>
      <c r="X44" s="35">
        <f>+(2.5*0.25*0.25)*G44</f>
        <v>0.625</v>
      </c>
      <c r="Y44" s="35"/>
      <c r="Z44" s="35"/>
      <c r="AA44" s="35"/>
      <c r="AB44" s="35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59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30"/>
      <c r="BK44" s="30"/>
    </row>
    <row r="45" spans="1:63">
      <c r="A45" s="869"/>
      <c r="B45" s="30"/>
      <c r="C45" s="30"/>
      <c r="D45" s="27">
        <v>0.5</v>
      </c>
      <c r="E45" s="27">
        <v>0.5</v>
      </c>
      <c r="F45" s="27">
        <v>0.6</v>
      </c>
      <c r="G45" s="65">
        <v>4</v>
      </c>
      <c r="H45" s="30"/>
      <c r="I45" s="26"/>
      <c r="J45" s="26"/>
      <c r="K45" s="27"/>
      <c r="L45" s="27"/>
      <c r="M45" s="27"/>
      <c r="N45" s="27"/>
      <c r="O45" s="30">
        <f t="shared" si="10"/>
        <v>0.6</v>
      </c>
      <c r="P45" s="30"/>
      <c r="Q45" s="27">
        <f>+(D45*E45*0.05)*G45</f>
        <v>0.05</v>
      </c>
      <c r="R45" s="27">
        <f t="shared" si="11"/>
        <v>0.36</v>
      </c>
      <c r="S45" s="30"/>
      <c r="T45" s="30">
        <f t="shared" ref="T45" si="13">+(D45*E45*0.3)*G45</f>
        <v>0.3</v>
      </c>
      <c r="U45" s="30">
        <f t="shared" si="12"/>
        <v>0.108</v>
      </c>
      <c r="V45" s="30"/>
      <c r="W45" s="30"/>
      <c r="X45" s="35">
        <f>+(2.5*0.25*0.25)*G45</f>
        <v>0.625</v>
      </c>
      <c r="Y45" s="35"/>
      <c r="Z45" s="35"/>
      <c r="AA45" s="35"/>
      <c r="AB45" s="35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59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30"/>
      <c r="BK45" s="30"/>
    </row>
    <row r="46" spans="1:63">
      <c r="A46" s="869"/>
      <c r="B46" s="30"/>
      <c r="C46" s="30"/>
      <c r="D46" s="27">
        <v>28.8</v>
      </c>
      <c r="E46" s="27">
        <v>0.3</v>
      </c>
      <c r="F46" s="27">
        <v>0.3</v>
      </c>
      <c r="G46" s="65"/>
      <c r="H46" s="30"/>
      <c r="I46" s="26"/>
      <c r="J46" s="26"/>
      <c r="K46" s="27"/>
      <c r="L46" s="27"/>
      <c r="M46" s="27"/>
      <c r="N46" s="27"/>
      <c r="O46" s="30">
        <f>+(D46*E46*F46)</f>
        <v>2.5920000000000001</v>
      </c>
      <c r="P46" s="30"/>
      <c r="Q46" s="27">
        <f>+D46*E46*0.05</f>
        <v>0.43200000000000005</v>
      </c>
      <c r="R46" s="27">
        <f>+D46*E46*0.3</f>
        <v>2.5920000000000001</v>
      </c>
      <c r="S46" s="30">
        <f>+D46*0.25*0.25</f>
        <v>1.8</v>
      </c>
      <c r="T46" s="30"/>
      <c r="U46" s="30"/>
      <c r="V46" s="30"/>
      <c r="W46" s="30"/>
      <c r="X46" s="35"/>
      <c r="Y46" s="35">
        <f>+D46*2</f>
        <v>57.6</v>
      </c>
      <c r="Z46" s="35"/>
      <c r="AA46" s="35"/>
      <c r="AB46" s="35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59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30"/>
      <c r="BK46" s="30"/>
    </row>
    <row r="47" spans="1:63">
      <c r="A47" s="869"/>
      <c r="B47" s="30"/>
      <c r="C47" s="30"/>
      <c r="D47" s="27">
        <v>17</v>
      </c>
      <c r="E47" s="27">
        <v>0.3</v>
      </c>
      <c r="F47" s="27">
        <v>0.3</v>
      </c>
      <c r="G47" s="65"/>
      <c r="H47" s="30"/>
      <c r="I47" s="26"/>
      <c r="J47" s="26"/>
      <c r="K47" s="27"/>
      <c r="L47" s="27"/>
      <c r="M47" s="27"/>
      <c r="N47" s="27"/>
      <c r="O47" s="30">
        <f>+(D47*E47*F47)</f>
        <v>1.5299999999999998</v>
      </c>
      <c r="P47" s="30"/>
      <c r="Q47" s="27">
        <f>+D47*E47*0.05</f>
        <v>0.255</v>
      </c>
      <c r="R47" s="27">
        <f t="shared" ref="R47:R51" si="14">+D47*E47*0.3</f>
        <v>1.5299999999999998</v>
      </c>
      <c r="S47" s="30">
        <f t="shared" ref="S47:S51" si="15">+D47*0.25*0.25</f>
        <v>1.0625</v>
      </c>
      <c r="T47" s="30"/>
      <c r="U47" s="30"/>
      <c r="V47" s="30"/>
      <c r="W47" s="30"/>
      <c r="X47" s="35"/>
      <c r="Y47" s="35">
        <f t="shared" ref="Y47:Y51" si="16">+D47</f>
        <v>17</v>
      </c>
      <c r="Z47" s="35"/>
      <c r="AA47" s="35"/>
      <c r="AB47" s="35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59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30"/>
      <c r="BK47" s="30"/>
    </row>
    <row r="48" spans="1:63">
      <c r="A48" s="869"/>
      <c r="B48" s="30"/>
      <c r="C48" s="30"/>
      <c r="D48" s="27">
        <v>22.3</v>
      </c>
      <c r="E48" s="27">
        <v>0.3</v>
      </c>
      <c r="F48" s="27">
        <v>0.3</v>
      </c>
      <c r="G48" s="65"/>
      <c r="H48" s="30"/>
      <c r="I48" s="26"/>
      <c r="J48" s="26"/>
      <c r="K48" s="27"/>
      <c r="L48" s="27"/>
      <c r="M48" s="27"/>
      <c r="N48" s="27"/>
      <c r="O48" s="30">
        <f>+(D48*E48*F48)</f>
        <v>2.0070000000000001</v>
      </c>
      <c r="P48" s="30"/>
      <c r="Q48" s="27">
        <f>+D48*E48*0.05</f>
        <v>0.33450000000000002</v>
      </c>
      <c r="R48" s="27">
        <f t="shared" si="14"/>
        <v>2.0070000000000001</v>
      </c>
      <c r="S48" s="30">
        <f t="shared" si="15"/>
        <v>1.39375</v>
      </c>
      <c r="T48" s="30"/>
      <c r="U48" s="30"/>
      <c r="V48" s="30"/>
      <c r="W48" s="30"/>
      <c r="X48" s="35"/>
      <c r="Y48" s="35">
        <f t="shared" si="16"/>
        <v>22.3</v>
      </c>
      <c r="Z48" s="35"/>
      <c r="AA48" s="35"/>
      <c r="AB48" s="35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59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30"/>
      <c r="BK48" s="30"/>
    </row>
    <row r="49" spans="1:63">
      <c r="A49" s="869"/>
      <c r="B49" s="30"/>
      <c r="C49" s="30"/>
      <c r="D49" s="27">
        <v>16</v>
      </c>
      <c r="E49" s="27">
        <v>0.3</v>
      </c>
      <c r="F49" s="27">
        <v>0.3</v>
      </c>
      <c r="G49" s="65"/>
      <c r="H49" s="30"/>
      <c r="I49" s="26"/>
      <c r="J49" s="26"/>
      <c r="K49" s="27"/>
      <c r="L49" s="27"/>
      <c r="M49" s="27"/>
      <c r="N49" s="27"/>
      <c r="O49" s="30">
        <f t="shared" ref="O49:O51" si="17">+(D49*E49*F49)</f>
        <v>1.44</v>
      </c>
      <c r="P49" s="30"/>
      <c r="Q49" s="27">
        <f t="shared" ref="Q49:Q51" si="18">+D49*E49*0.05</f>
        <v>0.24</v>
      </c>
      <c r="R49" s="27">
        <f t="shared" si="14"/>
        <v>1.44</v>
      </c>
      <c r="S49" s="30">
        <f t="shared" si="15"/>
        <v>1</v>
      </c>
      <c r="T49" s="30"/>
      <c r="U49" s="30"/>
      <c r="V49" s="30"/>
      <c r="W49" s="30"/>
      <c r="X49" s="35"/>
      <c r="Y49" s="35">
        <f t="shared" si="16"/>
        <v>16</v>
      </c>
      <c r="Z49" s="35"/>
      <c r="AA49" s="35"/>
      <c r="AB49" s="35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59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30"/>
      <c r="BK49" s="30"/>
    </row>
    <row r="50" spans="1:63">
      <c r="A50" s="869"/>
      <c r="B50" s="30"/>
      <c r="C50" s="30"/>
      <c r="D50" s="27">
        <v>12</v>
      </c>
      <c r="E50" s="27">
        <v>0.3</v>
      </c>
      <c r="F50" s="27">
        <v>0.3</v>
      </c>
      <c r="G50" s="65"/>
      <c r="H50" s="30"/>
      <c r="I50" s="26"/>
      <c r="J50" s="26"/>
      <c r="K50" s="27"/>
      <c r="L50" s="27"/>
      <c r="M50" s="27"/>
      <c r="N50" s="27"/>
      <c r="O50" s="30">
        <f t="shared" si="17"/>
        <v>1.0799999999999998</v>
      </c>
      <c r="P50" s="30"/>
      <c r="Q50" s="27">
        <f t="shared" si="18"/>
        <v>0.18</v>
      </c>
      <c r="R50" s="27">
        <f t="shared" si="14"/>
        <v>1.0799999999999998</v>
      </c>
      <c r="S50" s="30">
        <f t="shared" si="15"/>
        <v>0.75</v>
      </c>
      <c r="T50" s="30"/>
      <c r="U50" s="30"/>
      <c r="V50" s="30"/>
      <c r="W50" s="30"/>
      <c r="X50" s="35"/>
      <c r="Y50" s="35">
        <f t="shared" si="16"/>
        <v>12</v>
      </c>
      <c r="Z50" s="35"/>
      <c r="AA50" s="35"/>
      <c r="AB50" s="35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59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  <c r="BJ50" s="30"/>
      <c r="BK50" s="30"/>
    </row>
    <row r="51" spans="1:63">
      <c r="A51" s="869"/>
      <c r="B51" s="30"/>
      <c r="C51" s="30"/>
      <c r="D51" s="27">
        <v>14</v>
      </c>
      <c r="E51" s="27">
        <v>0.3</v>
      </c>
      <c r="F51" s="27">
        <v>0.3</v>
      </c>
      <c r="G51" s="26"/>
      <c r="H51" s="30"/>
      <c r="I51" s="26"/>
      <c r="J51" s="26"/>
      <c r="K51" s="27"/>
      <c r="L51" s="27"/>
      <c r="M51" s="27"/>
      <c r="N51" s="27"/>
      <c r="O51" s="30">
        <f t="shared" si="17"/>
        <v>1.26</v>
      </c>
      <c r="P51" s="30"/>
      <c r="Q51" s="27">
        <f t="shared" si="18"/>
        <v>0.21000000000000002</v>
      </c>
      <c r="R51" s="27">
        <f t="shared" si="14"/>
        <v>1.26</v>
      </c>
      <c r="S51" s="30">
        <f t="shared" si="15"/>
        <v>0.875</v>
      </c>
      <c r="T51" s="30"/>
      <c r="U51" s="30"/>
      <c r="V51" s="30"/>
      <c r="W51" s="30"/>
      <c r="X51" s="35"/>
      <c r="Y51" s="35">
        <f t="shared" si="16"/>
        <v>14</v>
      </c>
      <c r="Z51" s="35">
        <f>+D51</f>
        <v>14</v>
      </c>
      <c r="AB51" s="35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59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30"/>
      <c r="BK51" s="30"/>
    </row>
    <row r="52" spans="1:63">
      <c r="A52" s="869"/>
      <c r="B52" s="30"/>
      <c r="C52" s="30"/>
      <c r="D52" s="27">
        <v>22</v>
      </c>
      <c r="E52" s="27">
        <v>7.6</v>
      </c>
      <c r="F52" s="27">
        <v>0.2</v>
      </c>
      <c r="G52" s="26"/>
      <c r="H52" s="30"/>
      <c r="I52" s="26"/>
      <c r="J52" s="26"/>
      <c r="K52" s="27"/>
      <c r="L52" s="27"/>
      <c r="M52" s="27"/>
      <c r="N52" s="28">
        <f>+D52*2</f>
        <v>44</v>
      </c>
      <c r="O52" s="9"/>
      <c r="P52" s="30">
        <f>+(D52*E52*F52)</f>
        <v>33.44</v>
      </c>
      <c r="Q52" s="27"/>
      <c r="R52" s="27"/>
      <c r="S52" s="30"/>
      <c r="T52" s="30"/>
      <c r="U52" s="30"/>
      <c r="V52" s="9"/>
      <c r="W52" s="30">
        <f>+D52*E52*0.45</f>
        <v>75.239999999999995</v>
      </c>
      <c r="X52" s="35"/>
      <c r="Y52" s="35"/>
      <c r="Z52" s="35"/>
      <c r="AA52" s="35"/>
      <c r="AB52" s="35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66"/>
      <c r="AP52" s="58"/>
      <c r="AQ52" s="58"/>
      <c r="AR52" s="58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30"/>
      <c r="BK52" s="30"/>
    </row>
    <row r="53" spans="1:63">
      <c r="A53" s="869"/>
      <c r="B53" s="30"/>
      <c r="C53" s="30"/>
      <c r="D53" s="27">
        <v>22</v>
      </c>
      <c r="E53" s="27">
        <v>6.2</v>
      </c>
      <c r="F53" s="27">
        <v>0.4</v>
      </c>
      <c r="G53" s="26"/>
      <c r="H53" s="30"/>
      <c r="I53" s="26"/>
      <c r="J53" s="26"/>
      <c r="K53" s="27"/>
      <c r="L53" s="27"/>
      <c r="M53" s="27"/>
      <c r="N53" s="27"/>
      <c r="O53" s="9"/>
      <c r="P53" s="30">
        <f>+(D53*E53*F53)</f>
        <v>54.56</v>
      </c>
      <c r="Q53" s="27"/>
      <c r="R53" s="27"/>
      <c r="S53" s="30"/>
      <c r="T53" s="30"/>
      <c r="U53" s="30"/>
      <c r="V53" s="9"/>
      <c r="W53" s="30"/>
      <c r="X53" s="35"/>
      <c r="Y53" s="35"/>
      <c r="Z53" s="35"/>
      <c r="AA53" s="35"/>
      <c r="AB53" s="35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66"/>
      <c r="AP53" s="58"/>
      <c r="AQ53" s="58"/>
      <c r="AR53" s="58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30"/>
      <c r="BK53" s="30"/>
    </row>
    <row r="54" spans="1:63">
      <c r="A54" s="869"/>
      <c r="B54" s="30"/>
      <c r="C54" s="30"/>
      <c r="D54" s="27">
        <v>50</v>
      </c>
      <c r="E54" s="27">
        <v>6.5</v>
      </c>
      <c r="F54" s="27">
        <v>0.3</v>
      </c>
      <c r="G54" s="26"/>
      <c r="H54" s="30"/>
      <c r="I54" s="26"/>
      <c r="J54" s="26"/>
      <c r="K54" s="27"/>
      <c r="L54" s="27"/>
      <c r="M54" s="27"/>
      <c r="N54" s="27"/>
      <c r="O54" s="9"/>
      <c r="P54" s="30">
        <f>+(D54*E54*F54)</f>
        <v>97.5</v>
      </c>
      <c r="Q54" s="27"/>
      <c r="R54" s="27"/>
      <c r="S54" s="30"/>
      <c r="T54" s="30"/>
      <c r="U54" s="30"/>
      <c r="V54" s="9"/>
      <c r="W54" s="30"/>
      <c r="X54" s="35"/>
      <c r="Y54" s="35"/>
      <c r="Z54" s="35"/>
      <c r="AA54" s="35"/>
      <c r="AB54" s="35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66"/>
      <c r="AP54" s="58"/>
      <c r="AQ54" s="58"/>
      <c r="AR54" s="58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30"/>
      <c r="BK54" s="30"/>
    </row>
    <row r="55" spans="1:63">
      <c r="A55" s="869"/>
      <c r="B55" s="30"/>
      <c r="C55" s="30"/>
      <c r="D55" s="27">
        <v>4</v>
      </c>
      <c r="E55" s="27">
        <v>3</v>
      </c>
      <c r="F55" s="27">
        <v>0.3</v>
      </c>
      <c r="G55" s="26"/>
      <c r="H55" s="30"/>
      <c r="I55" s="26"/>
      <c r="J55" s="26"/>
      <c r="K55" s="27"/>
      <c r="L55" s="27"/>
      <c r="M55" s="27"/>
      <c r="N55" s="28">
        <f>+D55*2</f>
        <v>8</v>
      </c>
      <c r="O55" s="30"/>
      <c r="P55" s="30">
        <f>+(D55*E55*F55)*2</f>
        <v>7.1999999999999993</v>
      </c>
      <c r="Q55" s="27"/>
      <c r="R55" s="27"/>
      <c r="S55" s="30"/>
      <c r="T55" s="30"/>
      <c r="U55" s="30"/>
      <c r="V55" s="9"/>
      <c r="W55" s="30"/>
      <c r="X55" s="35"/>
      <c r="Y55" s="35"/>
      <c r="Z55" s="35"/>
      <c r="AA55" s="35"/>
      <c r="AB55" s="35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66"/>
      <c r="AP55" s="58"/>
      <c r="AQ55" s="58"/>
      <c r="AR55" s="58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30"/>
      <c r="BK55" s="30"/>
    </row>
    <row r="56" spans="1:63">
      <c r="A56" s="869"/>
      <c r="B56" s="30"/>
      <c r="C56" s="30"/>
      <c r="D56" s="27">
        <v>8</v>
      </c>
      <c r="E56" s="27">
        <v>6</v>
      </c>
      <c r="F56" s="27">
        <v>0.45</v>
      </c>
      <c r="G56" s="26"/>
      <c r="H56" s="30"/>
      <c r="I56" s="26"/>
      <c r="J56" s="26"/>
      <c r="K56" s="27"/>
      <c r="L56" s="27"/>
      <c r="M56" s="27"/>
      <c r="N56" s="27"/>
      <c r="O56" s="30"/>
      <c r="P56" s="30"/>
      <c r="Q56" s="27"/>
      <c r="R56" s="27"/>
      <c r="S56" s="30"/>
      <c r="T56" s="30"/>
      <c r="U56" s="30"/>
      <c r="V56" s="9"/>
      <c r="W56" s="30">
        <f>+D56*E56*F56</f>
        <v>21.6</v>
      </c>
      <c r="X56" s="35"/>
      <c r="Y56" s="35"/>
      <c r="Z56" s="35"/>
      <c r="AA56" s="35"/>
      <c r="AB56" s="35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66"/>
      <c r="AP56" s="58"/>
      <c r="AQ56" s="58"/>
      <c r="AR56" s="58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30"/>
      <c r="BK56" s="30"/>
    </row>
    <row r="57" spans="1:63">
      <c r="A57" s="869"/>
      <c r="B57" s="30"/>
      <c r="C57" s="30"/>
      <c r="D57" s="27">
        <v>6</v>
      </c>
      <c r="E57" s="27">
        <v>2.7</v>
      </c>
      <c r="F57" s="27">
        <v>0.45</v>
      </c>
      <c r="G57" s="26"/>
      <c r="H57" s="30"/>
      <c r="I57" s="26"/>
      <c r="J57" s="26"/>
      <c r="K57" s="27"/>
      <c r="L57" s="27"/>
      <c r="M57" s="27"/>
      <c r="N57" s="27"/>
      <c r="O57" s="30"/>
      <c r="P57" s="30"/>
      <c r="Q57" s="27"/>
      <c r="R57" s="27"/>
      <c r="S57" s="30"/>
      <c r="T57" s="30"/>
      <c r="U57" s="30"/>
      <c r="V57" s="9"/>
      <c r="W57" s="30">
        <f>+D57*E57*F57</f>
        <v>7.2900000000000018</v>
      </c>
      <c r="X57" s="35"/>
      <c r="Y57" s="35"/>
      <c r="Z57" s="35"/>
      <c r="AA57" s="35"/>
      <c r="AB57" s="35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66"/>
      <c r="AP57" s="58"/>
      <c r="AQ57" s="58"/>
      <c r="AR57" s="58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30"/>
      <c r="BK57" s="30"/>
    </row>
    <row r="58" spans="1:63">
      <c r="A58" s="869"/>
      <c r="B58" s="30"/>
      <c r="C58" s="30"/>
      <c r="D58" s="27">
        <v>3</v>
      </c>
      <c r="E58" s="27">
        <v>3</v>
      </c>
      <c r="F58" s="27">
        <v>0.45</v>
      </c>
      <c r="G58" s="26"/>
      <c r="H58" s="30"/>
      <c r="I58" s="26"/>
      <c r="J58" s="26"/>
      <c r="K58" s="27"/>
      <c r="L58" s="27"/>
      <c r="M58" s="27"/>
      <c r="N58" s="28">
        <f>+D58*2</f>
        <v>6</v>
      </c>
      <c r="O58" s="30"/>
      <c r="P58" s="30"/>
      <c r="Q58" s="27"/>
      <c r="R58" s="27"/>
      <c r="S58" s="30"/>
      <c r="T58" s="30"/>
      <c r="U58" s="30"/>
      <c r="W58" s="30">
        <f>+D58*E58*F58</f>
        <v>4.05</v>
      </c>
      <c r="X58" s="35"/>
      <c r="Y58" s="35"/>
      <c r="Z58" s="35"/>
      <c r="AA58" s="35"/>
      <c r="AB58" s="35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66"/>
      <c r="AP58" s="58"/>
      <c r="AQ58" s="58"/>
      <c r="AR58" s="58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  <c r="BJ58" s="30"/>
      <c r="BK58" s="30"/>
    </row>
    <row r="59" spans="1:63" ht="15.75" thickBot="1">
      <c r="A59" s="869"/>
      <c r="B59" s="32"/>
      <c r="C59" s="33"/>
      <c r="D59" s="27"/>
      <c r="E59" s="27"/>
      <c r="F59" s="27"/>
      <c r="G59" s="35"/>
      <c r="H59" s="30"/>
      <c r="I59" s="26"/>
      <c r="J59" s="26"/>
      <c r="K59" s="27"/>
      <c r="L59" s="27"/>
      <c r="M59" s="27"/>
      <c r="N59" s="27"/>
      <c r="O59" s="30"/>
      <c r="P59" s="30"/>
      <c r="Q59" s="27"/>
      <c r="R59" s="27"/>
      <c r="S59" s="30"/>
      <c r="T59" s="30"/>
      <c r="U59" s="30"/>
      <c r="V59" s="30"/>
      <c r="W59" s="30"/>
      <c r="X59" s="35"/>
      <c r="Y59" s="35"/>
      <c r="Z59" s="35"/>
      <c r="AA59" s="35"/>
      <c r="AB59" s="35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882"/>
      <c r="AP59" s="883"/>
      <c r="AQ59" s="58"/>
      <c r="AR59" s="58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</row>
    <row r="60" spans="1:63" ht="30.75" thickBot="1">
      <c r="A60" s="36" t="s">
        <v>99</v>
      </c>
      <c r="B60" s="874">
        <f>+B7+B20</f>
        <v>658</v>
      </c>
      <c r="C60" s="875"/>
      <c r="D60" s="37">
        <f>SUM(D7:D58)</f>
        <v>710.35</v>
      </c>
      <c r="E60" s="38">
        <f>+SUM(E7:E20)</f>
        <v>59.88000000000001</v>
      </c>
      <c r="F60" s="39">
        <f>+SUM(F7:F20)</f>
        <v>10.98</v>
      </c>
      <c r="G60" s="39"/>
      <c r="H60" s="39">
        <f>+SUM(H7:H8)</f>
        <v>142.97050000000002</v>
      </c>
      <c r="I60" s="51">
        <f>+SUM(I7:I20)</f>
        <v>113.99000000000001</v>
      </c>
      <c r="J60" s="51">
        <f>+J13</f>
        <v>56.699999999999996</v>
      </c>
      <c r="K60" s="39">
        <f>SUM(K7:K20)</f>
        <v>973</v>
      </c>
      <c r="L60" s="39">
        <f>+SUM(L7)</f>
        <v>658</v>
      </c>
      <c r="M60" s="39">
        <f>+(J60+M7+M8+M9)*1.3</f>
        <v>123.34640499999999</v>
      </c>
      <c r="N60" s="39">
        <f>+SUM(N13:N58)</f>
        <v>245.6</v>
      </c>
      <c r="O60" s="39">
        <f>+SUM(O40:O51)</f>
        <v>50.184999999999988</v>
      </c>
      <c r="P60" s="39">
        <f>+SUM(P52:P55)</f>
        <v>192.7</v>
      </c>
      <c r="Q60" s="39">
        <f>SUM(Q40:Q51)</f>
        <v>6.0150000000000006</v>
      </c>
      <c r="R60" s="39">
        <f>+SUM(R40:R51)</f>
        <v>18.032999999999998</v>
      </c>
      <c r="S60" s="39">
        <f>+SUM(S46:S51)</f>
        <v>6.8812499999999996</v>
      </c>
      <c r="T60" s="37">
        <f>+SUM(T40:T45)</f>
        <v>7.4965000000000019</v>
      </c>
      <c r="U60" s="67">
        <f>+SUM(U40:U45)</f>
        <v>0.91799999999999993</v>
      </c>
      <c r="V60" s="64">
        <f>+(O60+P60)*1.3</f>
        <v>315.75049999999999</v>
      </c>
      <c r="W60" s="63">
        <f>+SUM(W52:W58)</f>
        <v>108.18</v>
      </c>
      <c r="X60" s="71">
        <f>+SUM(X40:X45)</f>
        <v>8.75</v>
      </c>
      <c r="Y60" s="74">
        <f>+SUM(Y46:Y51)</f>
        <v>138.89999999999998</v>
      </c>
      <c r="Z60" s="51">
        <f>+SUM(Z51)</f>
        <v>14</v>
      </c>
      <c r="AA60" s="51">
        <f>+SUM(AA42)</f>
        <v>4.2410250000000005</v>
      </c>
      <c r="AB60" s="51">
        <f>+SUM(AB8)*2</f>
        <v>101.50399999999999</v>
      </c>
      <c r="AC60" s="39">
        <f>+SUM(AC30:AC38)</f>
        <v>338.31200000000001</v>
      </c>
      <c r="AD60" s="39">
        <f>+SUM(AD30:AD38)</f>
        <v>649.69600000000003</v>
      </c>
      <c r="AE60" s="39">
        <f>+SUM(AE10)</f>
        <v>42</v>
      </c>
      <c r="AF60" s="39">
        <f>+SUM(AF14:AF17)</f>
        <v>263.68400000000003</v>
      </c>
      <c r="AG60" s="39">
        <f>+SUM(AG14:AG21)</f>
        <v>456</v>
      </c>
      <c r="AH60" s="39">
        <f>+SUM(AH19:AH22)</f>
        <v>282.11799999999999</v>
      </c>
      <c r="AI60" s="39">
        <f>+SUM(AI19:AI22)</f>
        <v>282.11799999999999</v>
      </c>
      <c r="AJ60" s="39">
        <f>+SUM(AJ19:AJ22)</f>
        <v>282.11799999999999</v>
      </c>
      <c r="AK60" s="39">
        <f>+AK23</f>
        <v>86.399999999999991</v>
      </c>
      <c r="AL60" s="39">
        <f>+AL18</f>
        <v>10</v>
      </c>
      <c r="AM60" s="40">
        <f>+AM18</f>
        <v>4</v>
      </c>
      <c r="AN60" s="40"/>
      <c r="AO60" s="40">
        <f>+AO20</f>
        <v>2</v>
      </c>
      <c r="AP60" s="62"/>
      <c r="AQ60" s="63">
        <f>+AQ20</f>
        <v>1</v>
      </c>
      <c r="AR60" s="64">
        <f>+D39</f>
        <v>10</v>
      </c>
      <c r="AS60" s="63">
        <f>+SUM(AS30:AS38)</f>
        <v>752.75199999999995</v>
      </c>
      <c r="AT60" s="64">
        <f>+SUM(AT30:AT38)</f>
        <v>752.75199999999995</v>
      </c>
      <c r="AU60" s="63">
        <f>+SUM(AU23)</f>
        <v>4</v>
      </c>
      <c r="AV60" s="40">
        <f>+SUM(AV23)</f>
        <v>4</v>
      </c>
      <c r="AW60" s="40">
        <f>+SUM(AW24)</f>
        <v>2</v>
      </c>
      <c r="AX60" s="40">
        <f>+AX25</f>
        <v>1</v>
      </c>
      <c r="AY60" s="40">
        <f>+SUM(AY24)</f>
        <v>24.6</v>
      </c>
      <c r="AZ60" s="40">
        <f>+AZ24</f>
        <v>6</v>
      </c>
      <c r="BA60" s="40">
        <f>+BA25</f>
        <v>60.45</v>
      </c>
      <c r="BB60" s="40">
        <f>+BB24</f>
        <v>6</v>
      </c>
      <c r="BC60" s="40">
        <f>+BC24</f>
        <v>2</v>
      </c>
      <c r="BD60" s="40">
        <f>+BD24</f>
        <v>4</v>
      </c>
      <c r="BE60" s="40">
        <f>+BE26</f>
        <v>26.999999999999996</v>
      </c>
      <c r="BF60" s="40">
        <f>+BF27</f>
        <v>52.5</v>
      </c>
      <c r="BG60" s="40">
        <f>+BG28</f>
        <v>20</v>
      </c>
      <c r="BH60" s="40">
        <f>+BH29</f>
        <v>12</v>
      </c>
      <c r="BI60" s="40">
        <f>+BI27</f>
        <v>6</v>
      </c>
      <c r="BJ60" s="41"/>
      <c r="BK60" s="42"/>
    </row>
    <row r="61" spans="1:63">
      <c r="A61" s="43"/>
      <c r="B61" s="44"/>
      <c r="C61" s="44"/>
      <c r="D61" s="45"/>
      <c r="E61" s="44"/>
      <c r="F61" s="44"/>
      <c r="G61" s="44"/>
      <c r="H61" s="44"/>
      <c r="I61" s="52"/>
      <c r="J61" s="52"/>
      <c r="K61" s="46"/>
      <c r="L61" s="46"/>
      <c r="M61" s="46"/>
      <c r="N61" s="46"/>
      <c r="O61" s="46"/>
      <c r="P61" s="46"/>
      <c r="Q61" s="46"/>
      <c r="R61" s="46"/>
      <c r="S61" s="46"/>
      <c r="T61" s="47"/>
      <c r="U61" s="47"/>
      <c r="V61" s="48"/>
      <c r="W61" s="48"/>
      <c r="X61" s="72"/>
      <c r="Y61" s="72"/>
      <c r="Z61" s="72"/>
      <c r="AA61" s="72"/>
      <c r="AB61" s="72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7"/>
    </row>
    <row r="62" spans="1:63">
      <c r="A62" s="43"/>
      <c r="B62" s="44"/>
      <c r="C62" s="44"/>
      <c r="D62" s="44"/>
      <c r="E62" s="44"/>
      <c r="F62" s="44"/>
      <c r="G62" s="44"/>
      <c r="H62" s="44"/>
      <c r="I62" s="52"/>
      <c r="J62" s="52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73"/>
      <c r="Y62" s="73"/>
      <c r="Z62" s="73"/>
      <c r="AA62" s="73"/>
      <c r="AB62" s="73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</row>
    <row r="63" spans="1:63">
      <c r="A63" s="43"/>
      <c r="B63" s="44"/>
      <c r="C63" s="44"/>
      <c r="D63" s="44"/>
      <c r="E63" s="44"/>
      <c r="F63" s="44"/>
      <c r="G63" s="44"/>
      <c r="H63" s="44"/>
      <c r="I63" s="52"/>
      <c r="J63" s="52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73"/>
      <c r="Y63" s="73"/>
      <c r="Z63" s="73"/>
      <c r="AA63" s="73"/>
      <c r="AB63" s="73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</row>
    <row r="64" spans="1:63">
      <c r="A64" s="43"/>
      <c r="B64" s="44"/>
      <c r="C64" s="44"/>
      <c r="D64" s="44"/>
      <c r="E64" s="44"/>
      <c r="F64" s="44"/>
      <c r="G64" s="44"/>
      <c r="H64" s="44"/>
      <c r="I64" s="52"/>
      <c r="J64" s="52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73"/>
      <c r="Y64" s="73"/>
      <c r="Z64" s="73"/>
      <c r="AA64" s="73"/>
      <c r="AB64" s="73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</row>
    <row r="65" spans="1:63">
      <c r="A65" s="43"/>
      <c r="B65" s="44"/>
      <c r="C65" s="44"/>
      <c r="D65" s="44"/>
      <c r="E65" s="44"/>
      <c r="F65" s="44"/>
      <c r="G65" s="44"/>
      <c r="H65" s="44"/>
      <c r="I65" s="52"/>
      <c r="J65" s="52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73"/>
      <c r="Y65" s="73"/>
      <c r="Z65" s="73"/>
      <c r="AA65" s="73"/>
      <c r="AB65" s="73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</row>
    <row r="66" spans="1:63">
      <c r="A66" s="43"/>
      <c r="B66" s="44"/>
      <c r="C66" s="44"/>
      <c r="D66" s="44"/>
      <c r="E66" s="44"/>
      <c r="F66" s="44"/>
      <c r="G66" s="44"/>
      <c r="H66" s="44"/>
      <c r="I66" s="52"/>
      <c r="J66" s="52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73"/>
      <c r="Y66" s="73"/>
      <c r="Z66" s="73"/>
      <c r="AA66" s="73"/>
      <c r="AB66" s="73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</row>
    <row r="67" spans="1:63" ht="23.25" customHeight="1">
      <c r="A67" s="43"/>
      <c r="B67" s="44"/>
      <c r="C67" s="44"/>
      <c r="D67" s="44"/>
      <c r="E67" s="873" t="s">
        <v>100</v>
      </c>
      <c r="F67" s="873"/>
      <c r="G67" s="873"/>
      <c r="H67" s="873"/>
      <c r="I67" s="873"/>
      <c r="J67" s="53"/>
      <c r="K67" s="46"/>
      <c r="L67" s="46"/>
      <c r="M67" s="46"/>
      <c r="N67" s="46"/>
      <c r="O67" s="873" t="s">
        <v>101</v>
      </c>
      <c r="P67" s="873"/>
      <c r="Q67" s="873"/>
      <c r="R67" s="873"/>
      <c r="S67" s="46"/>
      <c r="T67" s="46"/>
      <c r="U67" s="46"/>
      <c r="V67" s="46"/>
      <c r="W67" s="46"/>
      <c r="X67" s="73"/>
      <c r="Y67" s="73"/>
      <c r="Z67" s="73"/>
      <c r="AA67" s="73"/>
      <c r="AB67" s="73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6"/>
    </row>
    <row r="68" spans="1:63">
      <c r="A68" s="43"/>
      <c r="B68" s="44"/>
      <c r="C68" s="44"/>
      <c r="D68" s="44"/>
      <c r="E68" s="871" t="s">
        <v>102</v>
      </c>
      <c r="F68" s="871"/>
      <c r="G68" s="871"/>
      <c r="H68" s="871"/>
      <c r="I68" s="871"/>
      <c r="J68" s="54"/>
      <c r="K68" s="46"/>
      <c r="L68" s="46"/>
      <c r="M68" s="46"/>
      <c r="N68" s="46"/>
      <c r="O68" s="872" t="s">
        <v>103</v>
      </c>
      <c r="P68" s="872"/>
      <c r="Q68" s="872"/>
      <c r="R68" s="872"/>
      <c r="S68" s="46"/>
      <c r="T68" s="46"/>
      <c r="U68" s="46"/>
      <c r="V68" s="46"/>
      <c r="W68" s="46"/>
      <c r="X68" s="73"/>
      <c r="Y68" s="73"/>
      <c r="Z68" s="73"/>
      <c r="AA68" s="73"/>
      <c r="AB68" s="73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</row>
    <row r="69" spans="1:63">
      <c r="A69" s="43"/>
      <c r="B69" s="44"/>
      <c r="C69" s="44"/>
      <c r="D69" s="44"/>
      <c r="E69" s="872" t="s">
        <v>104</v>
      </c>
      <c r="F69" s="872"/>
      <c r="G69" s="872"/>
      <c r="H69" s="872"/>
      <c r="I69" s="52"/>
      <c r="J69" s="52"/>
      <c r="K69" s="46"/>
      <c r="L69" s="46"/>
      <c r="M69" s="46"/>
      <c r="N69" s="46"/>
      <c r="O69" s="872" t="s">
        <v>105</v>
      </c>
      <c r="P69" s="872"/>
      <c r="Q69" s="872"/>
      <c r="R69" s="872"/>
      <c r="S69" s="46"/>
      <c r="T69" s="46"/>
      <c r="U69" s="46"/>
      <c r="V69" s="46"/>
      <c r="W69" s="46"/>
      <c r="X69" s="73"/>
      <c r="Y69" s="73"/>
      <c r="Z69" s="73"/>
      <c r="AA69" s="73"/>
      <c r="AB69" s="73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</row>
  </sheetData>
  <mergeCells count="99">
    <mergeCell ref="P4:P5"/>
    <mergeCell ref="AM4:AM5"/>
    <mergeCell ref="AO59:AP59"/>
    <mergeCell ref="AQ4:AQ5"/>
    <mergeCell ref="AR4:AR5"/>
    <mergeCell ref="AO14:AP14"/>
    <mergeCell ref="AO29:AP29"/>
    <mergeCell ref="Y4:Y5"/>
    <mergeCell ref="V4:V5"/>
    <mergeCell ref="W4:W5"/>
    <mergeCell ref="AA4:AA5"/>
    <mergeCell ref="AB4:AB5"/>
    <mergeCell ref="B6:C6"/>
    <mergeCell ref="B60:C60"/>
    <mergeCell ref="B19:C19"/>
    <mergeCell ref="B20:C20"/>
    <mergeCell ref="BJ4:BJ5"/>
    <mergeCell ref="AC4:AC5"/>
    <mergeCell ref="AD4:AD5"/>
    <mergeCell ref="AE4:AE5"/>
    <mergeCell ref="AL4:AL5"/>
    <mergeCell ref="AN4:AN5"/>
    <mergeCell ref="AK4:AK5"/>
    <mergeCell ref="AO4:AP5"/>
    <mergeCell ref="AO15:AP15"/>
    <mergeCell ref="AO16:AP16"/>
    <mergeCell ref="AO17:AP17"/>
    <mergeCell ref="AO28:AP28"/>
    <mergeCell ref="E68:I68"/>
    <mergeCell ref="O68:R68"/>
    <mergeCell ref="E69:H69"/>
    <mergeCell ref="O69:R69"/>
    <mergeCell ref="E67:I67"/>
    <mergeCell ref="O67:R67"/>
    <mergeCell ref="A7:A59"/>
    <mergeCell ref="B7:C7"/>
    <mergeCell ref="AO18:AP18"/>
    <mergeCell ref="AO19:AP19"/>
    <mergeCell ref="AO20:AP20"/>
    <mergeCell ref="AO21:AP21"/>
    <mergeCell ref="AO22:AP22"/>
    <mergeCell ref="AO23:AP23"/>
    <mergeCell ref="AO24:AP24"/>
    <mergeCell ref="AO25:AP25"/>
    <mergeCell ref="AO26:AP26"/>
    <mergeCell ref="AO10:AP10"/>
    <mergeCell ref="AO11:AP11"/>
    <mergeCell ref="AO12:AP12"/>
    <mergeCell ref="AO13:AP13"/>
    <mergeCell ref="AO8:AP8"/>
    <mergeCell ref="BK4:BK5"/>
    <mergeCell ref="B5:E5"/>
    <mergeCell ref="AF4:AF5"/>
    <mergeCell ref="AG4:AG5"/>
    <mergeCell ref="AH4:AH5"/>
    <mergeCell ref="Q4:Q5"/>
    <mergeCell ref="R4:R5"/>
    <mergeCell ref="S4:S5"/>
    <mergeCell ref="T4:T5"/>
    <mergeCell ref="U4:U5"/>
    <mergeCell ref="X4:X5"/>
    <mergeCell ref="Z4:Z5"/>
    <mergeCell ref="AT4:AT5"/>
    <mergeCell ref="BI4:BI5"/>
    <mergeCell ref="AY4:AY5"/>
    <mergeCell ref="AZ4:AZ5"/>
    <mergeCell ref="A1:BK1"/>
    <mergeCell ref="A2:BK2"/>
    <mergeCell ref="B3:E3"/>
    <mergeCell ref="A4:A6"/>
    <mergeCell ref="B4:E4"/>
    <mergeCell ref="H4:H5"/>
    <mergeCell ref="I4:I5"/>
    <mergeCell ref="K4:K5"/>
    <mergeCell ref="M4:M5"/>
    <mergeCell ref="O4:O5"/>
    <mergeCell ref="J4:J5"/>
    <mergeCell ref="L4:L5"/>
    <mergeCell ref="N4:N5"/>
    <mergeCell ref="AI4:AI5"/>
    <mergeCell ref="AJ4:AJ5"/>
    <mergeCell ref="AX4:AX5"/>
    <mergeCell ref="AO3:AP3"/>
    <mergeCell ref="AO6:AP6"/>
    <mergeCell ref="AO7:AP7"/>
    <mergeCell ref="AS4:AS5"/>
    <mergeCell ref="AO27:AP27"/>
    <mergeCell ref="BF4:BF5"/>
    <mergeCell ref="BG4:BG5"/>
    <mergeCell ref="BH4:BH5"/>
    <mergeCell ref="AO9:AP9"/>
    <mergeCell ref="AU4:AU5"/>
    <mergeCell ref="AV4:AV5"/>
    <mergeCell ref="AW4:AW5"/>
    <mergeCell ref="BA4:BA5"/>
    <mergeCell ref="BB4:BB5"/>
    <mergeCell ref="BC4:BC5"/>
    <mergeCell ref="BD4:BD5"/>
    <mergeCell ref="BE4:BE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S48"/>
  <sheetViews>
    <sheetView zoomScale="70" zoomScaleNormal="70" workbookViewId="0">
      <pane xSplit="7" ySplit="6" topLeftCell="Y7" activePane="bottomRight" state="frozen"/>
      <selection pane="topRight" activeCell="H1" sqref="H1"/>
      <selection pane="bottomLeft" activeCell="A7" sqref="A7"/>
      <selection pane="bottomRight" activeCell="AP20" sqref="AP20"/>
    </sheetView>
  </sheetViews>
  <sheetFormatPr baseColWidth="10" defaultColWidth="10.7109375" defaultRowHeight="15"/>
  <cols>
    <col min="1" max="1" width="20.7109375" customWidth="1"/>
    <col min="3" max="3" width="8.7109375" customWidth="1"/>
    <col min="8" max="8" width="14.7109375" customWidth="1"/>
    <col min="9" max="20" width="11.42578125" customWidth="1"/>
    <col min="21" max="21" width="13.7109375" customWidth="1"/>
    <col min="22" max="22" width="11.42578125" customWidth="1"/>
    <col min="23" max="23" width="13.5703125" customWidth="1"/>
    <col min="24" max="24" width="12.28515625" customWidth="1"/>
    <col min="25" max="38" width="11.42578125" customWidth="1"/>
    <col min="39" max="39" width="6.42578125" customWidth="1"/>
    <col min="40" max="40" width="18.28515625" customWidth="1"/>
    <col min="41" max="45" width="20" customWidth="1"/>
  </cols>
  <sheetData>
    <row r="1" spans="1:45" ht="43.5" customHeight="1">
      <c r="A1" s="850" t="str">
        <f>+PRESUPUESTO!A1</f>
        <v>" MEJORAMIENTO, ADECUACIÓN MENOR Y MANTENIMIENTO DE LA INFRAESTRUCTURA DE LAS INSTITUCIONES EDUCATIVAS URBANAS Y RURALES DEL MUNICIPIO DE SAN JOSÉ DE CÚCUTA"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  <c r="Q1" s="850"/>
      <c r="R1" s="850"/>
      <c r="S1" s="850"/>
      <c r="T1" s="850"/>
      <c r="U1" s="850"/>
      <c r="V1" s="850"/>
      <c r="W1" s="850"/>
      <c r="X1" s="850"/>
      <c r="Y1" s="850"/>
      <c r="Z1" s="850"/>
      <c r="AA1" s="850"/>
      <c r="AB1" s="850"/>
      <c r="AC1" s="850"/>
      <c r="AD1" s="850"/>
      <c r="AE1" s="850"/>
      <c r="AF1" s="850"/>
      <c r="AG1" s="850"/>
      <c r="AH1" s="850"/>
      <c r="AI1" s="850"/>
      <c r="AJ1" s="850"/>
      <c r="AK1" s="850"/>
      <c r="AL1" s="850"/>
      <c r="AM1" s="850"/>
      <c r="AN1" s="850"/>
      <c r="AO1" s="850"/>
      <c r="AP1" s="850"/>
      <c r="AQ1" s="850"/>
      <c r="AR1" s="850"/>
      <c r="AS1" s="850"/>
    </row>
    <row r="2" spans="1:45" ht="18">
      <c r="A2" s="850" t="s">
        <v>75</v>
      </c>
      <c r="B2" s="850"/>
      <c r="C2" s="850"/>
      <c r="D2" s="850"/>
      <c r="E2" s="850"/>
      <c r="F2" s="850"/>
      <c r="G2" s="850"/>
      <c r="H2" s="850"/>
      <c r="I2" s="850"/>
      <c r="J2" s="850"/>
      <c r="K2" s="850"/>
      <c r="L2" s="850"/>
      <c r="M2" s="850"/>
      <c r="N2" s="850"/>
      <c r="O2" s="850"/>
      <c r="P2" s="850"/>
      <c r="Q2" s="850"/>
      <c r="R2" s="850"/>
      <c r="S2" s="850"/>
      <c r="T2" s="850"/>
      <c r="U2" s="850"/>
      <c r="V2" s="850"/>
      <c r="W2" s="850"/>
      <c r="X2" s="850"/>
      <c r="Y2" s="850"/>
      <c r="Z2" s="850"/>
      <c r="AA2" s="850"/>
      <c r="AB2" s="850"/>
      <c r="AC2" s="850"/>
      <c r="AD2" s="850"/>
      <c r="AE2" s="850"/>
      <c r="AF2" s="850"/>
      <c r="AG2" s="850"/>
      <c r="AH2" s="850"/>
      <c r="AI2" s="850"/>
      <c r="AJ2" s="850"/>
      <c r="AK2" s="850"/>
      <c r="AL2" s="850"/>
      <c r="AM2" s="850"/>
      <c r="AN2" s="850"/>
      <c r="AO2" s="850"/>
      <c r="AP2" s="850"/>
      <c r="AQ2" s="850"/>
      <c r="AR2" s="850"/>
      <c r="AS2" s="850"/>
    </row>
    <row r="3" spans="1:45" ht="15.75">
      <c r="A3" s="16" t="s">
        <v>12</v>
      </c>
      <c r="B3" s="851"/>
      <c r="C3" s="852"/>
      <c r="D3" s="852"/>
      <c r="E3" s="853"/>
      <c r="F3" s="17"/>
      <c r="G3" s="17"/>
      <c r="H3" s="19" t="e">
        <f>+PRESUPUESTO!#REF!</f>
        <v>#REF!</v>
      </c>
      <c r="I3" s="19" t="e">
        <f>+PRESUPUESTO!#REF!</f>
        <v>#REF!</v>
      </c>
      <c r="J3" s="19" t="e">
        <f>+PRESUPUESTO!#REF!</f>
        <v>#REF!</v>
      </c>
      <c r="K3" s="19" t="e">
        <f>+PRESUPUESTO!#REF!</f>
        <v>#REF!</v>
      </c>
      <c r="L3" s="20" t="e">
        <f>+PRESUPUESTO!#REF!</f>
        <v>#REF!</v>
      </c>
      <c r="M3" s="20" t="e">
        <f>+PRESUPUESTO!#REF!</f>
        <v>#REF!</v>
      </c>
      <c r="N3" s="20" t="e">
        <f>+PRESUPUESTO!#REF!</f>
        <v>#REF!</v>
      </c>
      <c r="O3" s="20" t="e">
        <f>+PRESUPUESTO!#REF!</f>
        <v>#REF!</v>
      </c>
      <c r="P3" s="20" t="e">
        <f>+PRESUPUESTO!#REF!</f>
        <v>#REF!</v>
      </c>
      <c r="Q3" s="20" t="e">
        <f>+PRESUPUESTO!#REF!</f>
        <v>#REF!</v>
      </c>
      <c r="R3" s="20" t="e">
        <f>+PRESUPUESTO!#REF!</f>
        <v>#REF!</v>
      </c>
      <c r="S3" s="20" t="e">
        <f>+PRESUPUESTO!#REF!</f>
        <v>#REF!</v>
      </c>
      <c r="T3" s="20" t="e">
        <f>+PRESUPUESTO!#REF!</f>
        <v>#REF!</v>
      </c>
      <c r="U3" s="20" t="e">
        <f>+PRESUPUESTO!#REF!</f>
        <v>#REF!</v>
      </c>
      <c r="V3" s="20" t="e">
        <f>+PRESUPUESTO!#REF!</f>
        <v>#REF!</v>
      </c>
      <c r="W3" s="20" t="e">
        <f>+PRESUPUESTO!#REF!</f>
        <v>#REF!</v>
      </c>
      <c r="X3" s="20" t="e">
        <f>+PRESUPUESTO!#REF!</f>
        <v>#REF!</v>
      </c>
      <c r="Y3" s="20" t="e">
        <f>+PRESUPUESTO!#REF!</f>
        <v>#REF!</v>
      </c>
      <c r="Z3" s="20" t="e">
        <f>+PRESUPUESTO!#REF!</f>
        <v>#REF!</v>
      </c>
      <c r="AA3" s="20" t="e">
        <f>+PRESUPUESTO!#REF!</f>
        <v>#REF!</v>
      </c>
      <c r="AB3" s="20" t="e">
        <f>+PRESUPUESTO!#REF!</f>
        <v>#REF!</v>
      </c>
      <c r="AC3" s="60" t="e">
        <f>+PRESUPUESTO!#REF!</f>
        <v>#REF!</v>
      </c>
      <c r="AD3" s="60" t="e">
        <f>+PRESUPUESTO!#REF!</f>
        <v>#REF!</v>
      </c>
      <c r="AE3" s="60" t="e">
        <f>+PRESUPUESTO!#REF!</f>
        <v>#REF!</v>
      </c>
      <c r="AF3" s="60" t="e">
        <f>+PRESUPUESTO!#REF!</f>
        <v>#REF!</v>
      </c>
      <c r="AG3" s="60" t="e">
        <f>+PRESUPUESTO!#REF!</f>
        <v>#REF!</v>
      </c>
      <c r="AH3" s="60" t="e">
        <f>+PRESUPUESTO!#REF!</f>
        <v>#REF!</v>
      </c>
      <c r="AI3" s="60" t="e">
        <f>+PRESUPUESTO!#REF!</f>
        <v>#REF!</v>
      </c>
      <c r="AJ3" s="60" t="e">
        <f>+PRESUPUESTO!#REF!</f>
        <v>#REF!</v>
      </c>
      <c r="AK3" s="60" t="e">
        <f>+PRESUPUESTO!#REF!</f>
        <v>#REF!</v>
      </c>
      <c r="AL3" s="851" t="e">
        <f>+PRESUPUESTO!#REF!</f>
        <v>#REF!</v>
      </c>
      <c r="AM3" s="853"/>
      <c r="AN3" s="17" t="e">
        <f>+PRESUPUESTO!#REF!</f>
        <v>#REF!</v>
      </c>
      <c r="AO3" s="18" t="e">
        <f>+PRESUPUESTO!#REF!</f>
        <v>#REF!</v>
      </c>
      <c r="AP3" s="18" t="e">
        <f>+PRESUPUESTO!#REF!</f>
        <v>#REF!</v>
      </c>
      <c r="AQ3" s="18" t="e">
        <f>+PRESUPUESTO!#REF!</f>
        <v>#REF!</v>
      </c>
      <c r="AR3" s="18" t="e">
        <f>+PRESUPUESTO!#REF!</f>
        <v>#REF!</v>
      </c>
      <c r="AS3" s="18" t="e">
        <f>+PRESUPUESTO!#REF!</f>
        <v>#REF!</v>
      </c>
    </row>
    <row r="4" spans="1:45" ht="15.75" customHeight="1">
      <c r="A4" s="854" t="s">
        <v>76</v>
      </c>
      <c r="B4" s="857" t="s">
        <v>77</v>
      </c>
      <c r="C4" s="858"/>
      <c r="D4" s="858"/>
      <c r="E4" s="858"/>
      <c r="F4" s="21"/>
      <c r="G4" s="21"/>
      <c r="H4" s="860" t="e">
        <f>+PRESUPUESTO!#REF!</f>
        <v>#REF!</v>
      </c>
      <c r="I4" s="860" t="e">
        <f>+PRESUPUESTO!#REF!</f>
        <v>#REF!</v>
      </c>
      <c r="J4" s="860" t="e">
        <f>+PRESUPUESTO!#REF!</f>
        <v>#REF!</v>
      </c>
      <c r="K4" s="860" t="e">
        <f>+PRESUPUESTO!#REF!</f>
        <v>#REF!</v>
      </c>
      <c r="L4" s="860" t="e">
        <f>+PRESUPUESTO!#REF!</f>
        <v>#REF!</v>
      </c>
      <c r="M4" s="860" t="e">
        <f>+PRESUPUESTO!#REF!</f>
        <v>#REF!</v>
      </c>
      <c r="N4" s="860" t="e">
        <f>+PRESUPUESTO!#REF!</f>
        <v>#REF!</v>
      </c>
      <c r="O4" s="860" t="e">
        <f>+PRESUPUESTO!#REF!</f>
        <v>#REF!</v>
      </c>
      <c r="P4" s="862" t="e">
        <f>+PRESUPUESTO!#REF!</f>
        <v>#REF!</v>
      </c>
      <c r="Q4" s="862" t="e">
        <f>+PRESUPUESTO!#REF!</f>
        <v>#REF!</v>
      </c>
      <c r="R4" s="862" t="e">
        <f>+PRESUPUESTO!#REF!</f>
        <v>#REF!</v>
      </c>
      <c r="S4" s="862" t="e">
        <f>+PRESUPUESTO!#REF!</f>
        <v>#REF!</v>
      </c>
      <c r="T4" s="862" t="s">
        <v>106</v>
      </c>
      <c r="U4" s="862" t="s">
        <v>107</v>
      </c>
      <c r="V4" s="862" t="e">
        <f>+PRESUPUESTO!#REF!</f>
        <v>#REF!</v>
      </c>
      <c r="W4" s="842" t="s">
        <v>108</v>
      </c>
      <c r="X4" s="842" t="e">
        <f>+PRESUPUESTO!#REF!</f>
        <v>#REF!</v>
      </c>
      <c r="Y4" s="862" t="e">
        <f>+PRESUPUESTO!#REF!</f>
        <v>#REF!</v>
      </c>
      <c r="Z4" s="842" t="e">
        <f>+PRESUPUESTO!#REF!</f>
        <v>#REF!</v>
      </c>
      <c r="AA4" s="842" t="e">
        <f>+PRESUPUESTO!#REF!</f>
        <v>#REF!</v>
      </c>
      <c r="AB4" s="842" t="e">
        <f>+PRESUPUESTO!#REF!</f>
        <v>#REF!</v>
      </c>
      <c r="AC4" s="842" t="e">
        <f>+PRESUPUESTO!#REF!</f>
        <v>#REF!</v>
      </c>
      <c r="AD4" s="842" t="e">
        <f>+PRESUPUESTO!#REF!</f>
        <v>#REF!</v>
      </c>
      <c r="AE4" s="842" t="e">
        <f>+PRESUPUESTO!#REF!</f>
        <v>#REF!</v>
      </c>
      <c r="AF4" s="842" t="e">
        <f>+PRESUPUESTO!#REF!</f>
        <v>#REF!</v>
      </c>
      <c r="AG4" s="842" t="e">
        <f>+PRESUPUESTO!#REF!</f>
        <v>#REF!</v>
      </c>
      <c r="AH4" s="842" t="e">
        <f>+PRESUPUESTO!#REF!</f>
        <v>#REF!</v>
      </c>
      <c r="AI4" s="842" t="e">
        <f>+PRESUPUESTO!#REF!</f>
        <v>#REF!</v>
      </c>
      <c r="AJ4" s="842" t="e">
        <f>+PRESUPUESTO!#REF!</f>
        <v>#REF!</v>
      </c>
      <c r="AK4" s="842" t="e">
        <f>+PRESUPUESTO!#REF!</f>
        <v>#REF!</v>
      </c>
      <c r="AL4" s="878" t="e">
        <f>+PRESUPUESTO!#REF!</f>
        <v>#REF!</v>
      </c>
      <c r="AM4" s="879"/>
      <c r="AN4" s="842" t="e">
        <f>+PRESUPUESTO!#REF!</f>
        <v>#REF!</v>
      </c>
      <c r="AO4" s="842" t="e">
        <f>+PRESUPUESTO!#REF!</f>
        <v>#REF!</v>
      </c>
      <c r="AP4" s="842" t="e">
        <f>+PRESUPUESTO!#REF!</f>
        <v>#REF!</v>
      </c>
      <c r="AQ4" s="842" t="e">
        <f>+PRESUPUESTO!#REF!</f>
        <v>#REF!</v>
      </c>
      <c r="AR4" s="842" t="e">
        <f>+PRESUPUESTO!#REF!</f>
        <v>#REF!</v>
      </c>
      <c r="AS4" s="842" t="e">
        <f>+PRESUPUESTO!#REF!</f>
        <v>#REF!</v>
      </c>
    </row>
    <row r="5" spans="1:45" ht="161.25" customHeight="1">
      <c r="A5" s="855"/>
      <c r="B5" s="864" t="s">
        <v>89</v>
      </c>
      <c r="C5" s="865"/>
      <c r="D5" s="865"/>
      <c r="E5" s="865"/>
      <c r="F5" s="22"/>
      <c r="G5" s="22"/>
      <c r="H5" s="861"/>
      <c r="I5" s="861"/>
      <c r="J5" s="861"/>
      <c r="K5" s="861"/>
      <c r="L5" s="861"/>
      <c r="M5" s="861"/>
      <c r="N5" s="861"/>
      <c r="O5" s="861"/>
      <c r="P5" s="863"/>
      <c r="Q5" s="863"/>
      <c r="R5" s="863"/>
      <c r="S5" s="863"/>
      <c r="T5" s="863"/>
      <c r="U5" s="863"/>
      <c r="V5" s="863"/>
      <c r="W5" s="843"/>
      <c r="X5" s="843"/>
      <c r="Y5" s="863"/>
      <c r="Z5" s="843"/>
      <c r="AA5" s="843"/>
      <c r="AB5" s="843"/>
      <c r="AC5" s="843"/>
      <c r="AD5" s="843"/>
      <c r="AE5" s="843"/>
      <c r="AF5" s="843"/>
      <c r="AG5" s="843"/>
      <c r="AH5" s="843"/>
      <c r="AI5" s="843"/>
      <c r="AJ5" s="843"/>
      <c r="AK5" s="843"/>
      <c r="AL5" s="880"/>
      <c r="AM5" s="881"/>
      <c r="AN5" s="843"/>
      <c r="AO5" s="843"/>
      <c r="AP5" s="843"/>
      <c r="AQ5" s="843"/>
      <c r="AR5" s="843"/>
      <c r="AS5" s="843"/>
    </row>
    <row r="6" spans="1:45" ht="75">
      <c r="A6" s="856"/>
      <c r="B6" s="848" t="s">
        <v>90</v>
      </c>
      <c r="C6" s="849"/>
      <c r="D6" s="23" t="s">
        <v>68</v>
      </c>
      <c r="E6" s="23" t="s">
        <v>69</v>
      </c>
      <c r="F6" s="23" t="s">
        <v>91</v>
      </c>
      <c r="G6" s="24" t="s">
        <v>92</v>
      </c>
      <c r="H6" s="23" t="s">
        <v>97</v>
      </c>
      <c r="I6" s="23" t="s">
        <v>97</v>
      </c>
      <c r="J6" s="23" t="s">
        <v>97</v>
      </c>
      <c r="K6" s="23" t="s">
        <v>97</v>
      </c>
      <c r="L6" s="23" t="s">
        <v>97</v>
      </c>
      <c r="M6" s="23" t="s">
        <v>30</v>
      </c>
      <c r="N6" s="23" t="s">
        <v>97</v>
      </c>
      <c r="O6" s="23" t="s">
        <v>97</v>
      </c>
      <c r="P6" s="23" t="s">
        <v>97</v>
      </c>
      <c r="Q6" s="23" t="s">
        <v>30</v>
      </c>
      <c r="R6" s="23" t="s">
        <v>94</v>
      </c>
      <c r="S6" s="23" t="s">
        <v>97</v>
      </c>
      <c r="T6" s="23" t="s">
        <v>97</v>
      </c>
      <c r="U6" s="25" t="s">
        <v>97</v>
      </c>
      <c r="V6" s="25" t="s">
        <v>97</v>
      </c>
      <c r="W6" s="23" t="s">
        <v>97</v>
      </c>
      <c r="X6" s="25" t="s">
        <v>97</v>
      </c>
      <c r="Y6" s="25" t="s">
        <v>97</v>
      </c>
      <c r="Z6" s="25" t="s">
        <v>97</v>
      </c>
      <c r="AA6" s="25" t="s">
        <v>97</v>
      </c>
      <c r="AB6" s="25" t="s">
        <v>97</v>
      </c>
      <c r="AC6" s="25" t="s">
        <v>97</v>
      </c>
      <c r="AD6" s="25" t="s">
        <v>97</v>
      </c>
      <c r="AE6" s="25" t="s">
        <v>97</v>
      </c>
      <c r="AF6" s="25" t="s">
        <v>97</v>
      </c>
      <c r="AG6" s="25" t="s">
        <v>97</v>
      </c>
      <c r="AH6" s="25" t="s">
        <v>97</v>
      </c>
      <c r="AI6" s="25" t="s">
        <v>97</v>
      </c>
      <c r="AJ6" s="25" t="s">
        <v>97</v>
      </c>
      <c r="AK6" s="25" t="s">
        <v>97</v>
      </c>
      <c r="AL6" s="848" t="s">
        <v>97</v>
      </c>
      <c r="AM6" s="849"/>
      <c r="AN6" s="56" t="s">
        <v>97</v>
      </c>
      <c r="AO6" s="56" t="s">
        <v>96</v>
      </c>
      <c r="AP6" s="56" t="s">
        <v>96</v>
      </c>
      <c r="AQ6" s="56" t="s">
        <v>97</v>
      </c>
      <c r="AR6" s="56" t="s">
        <v>97</v>
      </c>
      <c r="AS6" s="56" t="s">
        <v>97</v>
      </c>
    </row>
    <row r="7" spans="1:45">
      <c r="A7" s="868" t="str">
        <f>+PRESUPUESTO!A1</f>
        <v>" MEJORAMIENTO, ADECUACIÓN MENOR Y MANTENIMIENTO DE LA INFRAESTRUCTURA DE LAS INSTITUCIONES EDUCATIVAS URBANAS Y RURALES DEL MUNICIPIO DE SAN JOSÉ DE CÚCUTA"</v>
      </c>
      <c r="B7" s="870"/>
      <c r="C7" s="870"/>
      <c r="D7" s="26">
        <v>20</v>
      </c>
      <c r="E7" s="26"/>
      <c r="F7" s="26"/>
      <c r="G7" s="26">
        <v>1</v>
      </c>
      <c r="H7" s="27">
        <f>+G7</f>
        <v>1</v>
      </c>
      <c r="I7" s="28"/>
      <c r="J7" s="28"/>
      <c r="K7" s="28"/>
      <c r="L7" s="29"/>
      <c r="M7" s="29"/>
      <c r="N7" s="29"/>
      <c r="O7" s="27"/>
      <c r="P7" s="27"/>
      <c r="Q7" s="27">
        <f>+D7+D8</f>
        <v>40</v>
      </c>
      <c r="R7" s="27"/>
      <c r="S7" s="27"/>
      <c r="T7" s="27"/>
      <c r="U7" s="27"/>
      <c r="V7" s="27"/>
      <c r="W7" s="27"/>
      <c r="X7" s="27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844"/>
      <c r="AM7" s="845"/>
      <c r="AN7" s="57"/>
      <c r="AO7" s="57"/>
      <c r="AP7" s="57"/>
      <c r="AQ7" s="57"/>
      <c r="AR7" s="57"/>
      <c r="AS7" s="57"/>
    </row>
    <row r="8" spans="1:45">
      <c r="A8" s="869"/>
      <c r="B8" s="870"/>
      <c r="C8" s="870"/>
      <c r="D8" s="26">
        <v>20</v>
      </c>
      <c r="E8" s="26"/>
      <c r="F8" s="26"/>
      <c r="G8" s="26">
        <v>18</v>
      </c>
      <c r="H8" s="27"/>
      <c r="I8" s="28">
        <v>20</v>
      </c>
      <c r="J8" s="28"/>
      <c r="K8" s="28"/>
      <c r="L8" s="29"/>
      <c r="M8" s="29"/>
      <c r="N8" s="29"/>
      <c r="O8" s="27"/>
      <c r="P8" s="27"/>
      <c r="Q8" s="27"/>
      <c r="R8" s="27">
        <f>+D8</f>
        <v>20</v>
      </c>
      <c r="S8" s="27"/>
      <c r="T8" s="27"/>
      <c r="U8" s="27"/>
      <c r="V8" s="27"/>
      <c r="W8" s="27"/>
      <c r="X8" s="27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844"/>
      <c r="AM8" s="845"/>
      <c r="AN8" s="57"/>
      <c r="AO8" s="57"/>
      <c r="AP8" s="57"/>
      <c r="AQ8" s="57"/>
      <c r="AR8" s="57"/>
      <c r="AS8" s="57"/>
    </row>
    <row r="9" spans="1:45">
      <c r="A9" s="869"/>
      <c r="B9" s="870"/>
      <c r="C9" s="870"/>
      <c r="D9" s="26"/>
      <c r="E9" s="26"/>
      <c r="F9" s="26"/>
      <c r="G9" s="26">
        <v>32</v>
      </c>
      <c r="H9" s="27"/>
      <c r="I9" s="28"/>
      <c r="J9" s="28">
        <v>22</v>
      </c>
      <c r="K9" s="28"/>
      <c r="L9" s="29"/>
      <c r="M9" s="29"/>
      <c r="N9" s="29"/>
      <c r="O9" s="27"/>
      <c r="P9" s="27"/>
      <c r="Q9" s="27"/>
      <c r="R9" s="27"/>
      <c r="S9" s="27">
        <f>+G15</f>
        <v>3</v>
      </c>
      <c r="T9" s="27"/>
      <c r="U9" s="27"/>
      <c r="V9" s="27"/>
      <c r="W9" s="27"/>
      <c r="X9" s="27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844"/>
      <c r="AM9" s="845"/>
      <c r="AN9" s="57"/>
      <c r="AO9" s="57"/>
      <c r="AP9" s="57"/>
      <c r="AQ9" s="57"/>
      <c r="AR9" s="57"/>
      <c r="AS9" s="57"/>
    </row>
    <row r="10" spans="1:45">
      <c r="A10" s="869"/>
      <c r="B10" s="870"/>
      <c r="C10" s="870"/>
      <c r="D10" s="26"/>
      <c r="E10" s="26"/>
      <c r="F10" s="26"/>
      <c r="G10" s="26">
        <v>15</v>
      </c>
      <c r="H10" s="27"/>
      <c r="I10" s="28"/>
      <c r="J10" s="28"/>
      <c r="K10" s="28">
        <v>9</v>
      </c>
      <c r="L10" s="29"/>
      <c r="M10" s="29"/>
      <c r="N10" s="29"/>
      <c r="O10" s="27"/>
      <c r="P10" s="27"/>
      <c r="Q10" s="27"/>
      <c r="R10" s="27"/>
      <c r="S10" s="27"/>
      <c r="T10" s="27">
        <f>+G13</f>
        <v>3</v>
      </c>
      <c r="U10" s="27">
        <f>+G15</f>
        <v>3</v>
      </c>
      <c r="V10" s="27"/>
      <c r="W10" s="27"/>
      <c r="X10" s="27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844"/>
      <c r="AM10" s="845"/>
      <c r="AN10" s="57"/>
      <c r="AO10" s="57"/>
      <c r="AP10" s="57"/>
      <c r="AQ10" s="57"/>
      <c r="AR10" s="57"/>
      <c r="AS10" s="57"/>
    </row>
    <row r="11" spans="1:45">
      <c r="A11" s="869"/>
      <c r="B11" s="870"/>
      <c r="C11" s="870"/>
      <c r="D11" s="26"/>
      <c r="E11" s="26"/>
      <c r="F11" s="26"/>
      <c r="G11" s="26">
        <v>8</v>
      </c>
      <c r="H11" s="27"/>
      <c r="I11" s="28"/>
      <c r="J11" s="28"/>
      <c r="K11" s="28"/>
      <c r="L11" s="29">
        <v>6</v>
      </c>
      <c r="M11" s="29"/>
      <c r="N11" s="29"/>
      <c r="O11" s="27"/>
      <c r="P11" s="27"/>
      <c r="Q11" s="27"/>
      <c r="R11" s="27"/>
      <c r="S11" s="27"/>
      <c r="T11" s="27"/>
      <c r="U11" s="27"/>
      <c r="V11" s="27">
        <f>+G11</f>
        <v>8</v>
      </c>
      <c r="W11" s="27"/>
      <c r="X11" s="27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844"/>
      <c r="AM11" s="845"/>
      <c r="AN11" s="57"/>
      <c r="AO11" s="57"/>
      <c r="AP11" s="57"/>
      <c r="AQ11" s="57"/>
      <c r="AR11" s="57"/>
      <c r="AS11" s="57"/>
    </row>
    <row r="12" spans="1:45">
      <c r="A12" s="869"/>
      <c r="B12" s="870"/>
      <c r="C12" s="870"/>
      <c r="D12" s="26">
        <v>60</v>
      </c>
      <c r="E12" s="26"/>
      <c r="F12" s="26"/>
      <c r="G12" s="26">
        <v>2</v>
      </c>
      <c r="H12" s="27"/>
      <c r="I12" s="28"/>
      <c r="J12" s="28"/>
      <c r="K12" s="28"/>
      <c r="L12" s="29"/>
      <c r="M12" s="29">
        <v>100</v>
      </c>
      <c r="N12" s="29">
        <v>1</v>
      </c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844"/>
      <c r="AM12" s="845"/>
      <c r="AN12" s="57"/>
      <c r="AO12" s="57"/>
      <c r="AP12" s="57"/>
      <c r="AQ12" s="57"/>
      <c r="AR12" s="57"/>
      <c r="AS12" s="57"/>
    </row>
    <row r="13" spans="1:45">
      <c r="A13" s="869"/>
      <c r="B13" s="870"/>
      <c r="C13" s="870"/>
      <c r="D13" s="26"/>
      <c r="E13" s="26"/>
      <c r="F13" s="26"/>
      <c r="G13" s="26">
        <v>3</v>
      </c>
      <c r="H13" s="27"/>
      <c r="I13" s="28"/>
      <c r="J13" s="28"/>
      <c r="K13" s="28"/>
      <c r="L13" s="29"/>
      <c r="M13" s="29"/>
      <c r="N13" s="29"/>
      <c r="O13" s="27">
        <v>5</v>
      </c>
      <c r="P13" s="27"/>
      <c r="Q13" s="27"/>
      <c r="R13" s="27"/>
      <c r="S13" s="27"/>
      <c r="T13" s="27"/>
      <c r="U13" s="27"/>
      <c r="V13" s="27"/>
      <c r="W13" s="27">
        <f>+G13</f>
        <v>3</v>
      </c>
      <c r="X13" s="27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844"/>
      <c r="AM13" s="845"/>
      <c r="AN13" s="57"/>
      <c r="AO13" s="57"/>
      <c r="AP13" s="57"/>
      <c r="AQ13" s="57"/>
      <c r="AR13" s="57"/>
      <c r="AS13" s="57"/>
    </row>
    <row r="14" spans="1:45">
      <c r="A14" s="869"/>
      <c r="B14" s="870"/>
      <c r="C14" s="870"/>
      <c r="D14" s="26"/>
      <c r="E14" s="26"/>
      <c r="F14" s="26"/>
      <c r="G14" s="26">
        <v>32</v>
      </c>
      <c r="H14" s="27"/>
      <c r="I14" s="28"/>
      <c r="J14" s="28"/>
      <c r="K14" s="28"/>
      <c r="L14" s="29"/>
      <c r="M14" s="29"/>
      <c r="N14" s="29"/>
      <c r="O14" s="27"/>
      <c r="P14" s="27">
        <v>22</v>
      </c>
      <c r="Q14" s="27"/>
      <c r="R14" s="27"/>
      <c r="S14" s="27"/>
      <c r="T14" s="27"/>
      <c r="U14" s="27"/>
      <c r="V14" s="27"/>
      <c r="W14" s="27"/>
      <c r="X14" s="27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844"/>
      <c r="AM14" s="845"/>
      <c r="AN14" s="57"/>
      <c r="AO14" s="57"/>
      <c r="AP14" s="57"/>
      <c r="AQ14" s="57"/>
      <c r="AR14" s="57"/>
      <c r="AS14" s="57"/>
    </row>
    <row r="15" spans="1:45">
      <c r="A15" s="869"/>
      <c r="B15" s="870"/>
      <c r="C15" s="870"/>
      <c r="D15" s="26"/>
      <c r="E15" s="26"/>
      <c r="F15" s="26"/>
      <c r="G15" s="26">
        <v>3</v>
      </c>
      <c r="H15" s="27"/>
      <c r="I15" s="28"/>
      <c r="J15" s="28"/>
      <c r="K15" s="28"/>
      <c r="L15" s="29"/>
      <c r="M15" s="29"/>
      <c r="N15" s="29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844"/>
      <c r="AM15" s="845"/>
      <c r="AN15" s="57"/>
      <c r="AO15" s="57"/>
      <c r="AP15" s="57"/>
      <c r="AQ15" s="57"/>
      <c r="AR15" s="57"/>
      <c r="AS15" s="57"/>
    </row>
    <row r="16" spans="1:45">
      <c r="A16" s="869"/>
      <c r="B16" s="870"/>
      <c r="C16" s="870"/>
      <c r="D16" s="26"/>
      <c r="E16" s="26"/>
      <c r="F16" s="26"/>
      <c r="G16" s="26">
        <v>5</v>
      </c>
      <c r="H16" s="27"/>
      <c r="I16" s="28"/>
      <c r="J16" s="28"/>
      <c r="K16" s="28"/>
      <c r="L16" s="29"/>
      <c r="M16" s="29"/>
      <c r="N16" s="29"/>
      <c r="O16" s="27"/>
      <c r="P16" s="27"/>
      <c r="Q16" s="27"/>
      <c r="R16" s="27"/>
      <c r="S16" s="27"/>
      <c r="T16" s="27"/>
      <c r="U16" s="27"/>
      <c r="V16" s="27"/>
      <c r="W16" s="27"/>
      <c r="X16" s="27">
        <f>+G16</f>
        <v>5</v>
      </c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844"/>
      <c r="AM16" s="845"/>
      <c r="AN16" s="57"/>
      <c r="AO16" s="57"/>
      <c r="AP16" s="57"/>
      <c r="AQ16" s="57"/>
      <c r="AR16" s="57"/>
      <c r="AS16" s="57"/>
    </row>
    <row r="17" spans="1:45">
      <c r="A17" s="869"/>
      <c r="B17" s="870"/>
      <c r="C17" s="870"/>
      <c r="D17" s="26"/>
      <c r="E17" s="26"/>
      <c r="F17" s="26"/>
      <c r="G17" s="26">
        <v>9</v>
      </c>
      <c r="H17" s="27"/>
      <c r="I17" s="28"/>
      <c r="J17" s="28"/>
      <c r="K17" s="28"/>
      <c r="L17" s="29"/>
      <c r="M17" s="29"/>
      <c r="N17" s="29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30">
        <f>+G17</f>
        <v>9</v>
      </c>
      <c r="Z17" s="30">
        <f>+G17</f>
        <v>9</v>
      </c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844"/>
      <c r="AM17" s="845"/>
      <c r="AN17" s="57"/>
      <c r="AO17" s="57"/>
      <c r="AP17" s="57"/>
      <c r="AQ17" s="57"/>
      <c r="AR17" s="57"/>
      <c r="AS17" s="57"/>
    </row>
    <row r="18" spans="1:45">
      <c r="A18" s="869"/>
      <c r="B18" s="870"/>
      <c r="C18" s="870"/>
      <c r="D18" s="26"/>
      <c r="E18" s="26"/>
      <c r="F18" s="26"/>
      <c r="G18" s="26">
        <v>22</v>
      </c>
      <c r="H18" s="27"/>
      <c r="I18" s="28"/>
      <c r="J18" s="28"/>
      <c r="K18" s="28"/>
      <c r="L18" s="29"/>
      <c r="M18" s="29"/>
      <c r="N18" s="29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30"/>
      <c r="Z18" s="30"/>
      <c r="AA18" s="30">
        <f>+G18</f>
        <v>22</v>
      </c>
      <c r="AB18" s="30">
        <f>+G11</f>
        <v>8</v>
      </c>
      <c r="AC18" s="30"/>
      <c r="AD18" s="30"/>
      <c r="AE18" s="30"/>
      <c r="AF18" s="30"/>
      <c r="AG18" s="30"/>
      <c r="AH18" s="30"/>
      <c r="AI18" s="30"/>
      <c r="AJ18" s="30"/>
      <c r="AK18" s="30"/>
      <c r="AL18" s="844"/>
      <c r="AM18" s="845"/>
      <c r="AN18" s="57"/>
      <c r="AO18" s="57"/>
      <c r="AP18" s="57"/>
      <c r="AQ18" s="57"/>
      <c r="AR18" s="57"/>
      <c r="AS18" s="57"/>
    </row>
    <row r="19" spans="1:45">
      <c r="A19" s="869"/>
      <c r="B19" s="884"/>
      <c r="C19" s="884"/>
      <c r="D19" s="26"/>
      <c r="E19" s="26"/>
      <c r="F19" s="26"/>
      <c r="G19" s="26">
        <v>6</v>
      </c>
      <c r="H19" s="27"/>
      <c r="I19" s="28"/>
      <c r="J19" s="28"/>
      <c r="K19" s="28"/>
      <c r="L19" s="29"/>
      <c r="M19" s="29"/>
      <c r="N19" s="29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30"/>
      <c r="Z19" s="30"/>
      <c r="AA19" s="30"/>
      <c r="AB19" s="30"/>
      <c r="AC19" s="30">
        <f>+G19</f>
        <v>6</v>
      </c>
      <c r="AD19" s="30">
        <f>+G16</f>
        <v>5</v>
      </c>
      <c r="AE19" s="30">
        <f>+G20</f>
        <v>4</v>
      </c>
      <c r="AF19" s="30">
        <f>+G12</f>
        <v>2</v>
      </c>
      <c r="AG19" s="30">
        <f>+G21</f>
        <v>2</v>
      </c>
      <c r="AH19" s="30">
        <f>+G12</f>
        <v>2</v>
      </c>
      <c r="AI19" s="30">
        <f>+'MEMORIAS ELE-VARI-AGUA-MOB'!G20</f>
        <v>4</v>
      </c>
      <c r="AJ19" s="30">
        <v>2</v>
      </c>
      <c r="AK19" s="30">
        <f>+G12</f>
        <v>2</v>
      </c>
      <c r="AL19" s="844">
        <f>+G12</f>
        <v>2</v>
      </c>
      <c r="AM19" s="845"/>
      <c r="AN19" s="57">
        <v>2</v>
      </c>
      <c r="AO19" s="57">
        <f>+(B22+B23)*F22</f>
        <v>4.4000000000000004</v>
      </c>
      <c r="AP19" s="57"/>
      <c r="AQ19" s="57"/>
      <c r="AR19" s="57"/>
      <c r="AS19" s="57"/>
    </row>
    <row r="20" spans="1:45">
      <c r="A20" s="869"/>
      <c r="B20" s="870"/>
      <c r="C20" s="870"/>
      <c r="D20" s="27"/>
      <c r="E20" s="27"/>
      <c r="F20" s="27"/>
      <c r="G20" s="26">
        <v>4</v>
      </c>
      <c r="H20" s="28"/>
      <c r="I20" s="28"/>
      <c r="J20" s="28"/>
      <c r="K20" s="28"/>
      <c r="L20" s="30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844"/>
      <c r="AM20" s="845"/>
      <c r="AN20" s="57"/>
      <c r="AO20" s="57"/>
      <c r="AP20" s="57">
        <f>+B23*F23</f>
        <v>6.3</v>
      </c>
      <c r="AQ20" s="57">
        <f>+G22</f>
        <v>10</v>
      </c>
      <c r="AR20" s="57">
        <v>4</v>
      </c>
      <c r="AS20" s="57"/>
    </row>
    <row r="21" spans="1:45">
      <c r="A21" s="869"/>
      <c r="B21" s="870"/>
      <c r="C21" s="870"/>
      <c r="D21" s="34"/>
      <c r="E21" s="34"/>
      <c r="F21" s="27"/>
      <c r="G21" s="26">
        <v>2</v>
      </c>
      <c r="H21" s="27"/>
      <c r="I21" s="27"/>
      <c r="J21" s="27"/>
      <c r="K21" s="27"/>
      <c r="L21" s="30"/>
      <c r="M21" s="27"/>
      <c r="N21" s="27"/>
      <c r="O21" s="27"/>
      <c r="P21" s="28"/>
      <c r="Q21" s="27"/>
      <c r="R21" s="27"/>
      <c r="S21" s="27"/>
      <c r="T21" s="27"/>
      <c r="U21" s="27"/>
      <c r="V21" s="27"/>
      <c r="W21" s="27"/>
      <c r="X21" s="27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844"/>
      <c r="AM21" s="845"/>
      <c r="AN21" s="57"/>
      <c r="AO21" s="57"/>
      <c r="AP21" s="57"/>
      <c r="AQ21" s="57"/>
      <c r="AR21" s="57"/>
      <c r="AS21" s="57"/>
    </row>
    <row r="22" spans="1:45">
      <c r="A22" s="869"/>
      <c r="B22" s="870">
        <v>23</v>
      </c>
      <c r="C22" s="870"/>
      <c r="D22" s="27"/>
      <c r="E22" s="28"/>
      <c r="F22" s="27">
        <v>0.1</v>
      </c>
      <c r="G22" s="26">
        <v>10</v>
      </c>
      <c r="H22" s="27"/>
      <c r="I22" s="27"/>
      <c r="J22" s="27"/>
      <c r="K22" s="27"/>
      <c r="L22" s="31"/>
      <c r="M22" s="34"/>
      <c r="N22" s="34"/>
      <c r="O22" s="31"/>
      <c r="P22" s="30"/>
      <c r="Q22" s="31"/>
      <c r="R22" s="31"/>
      <c r="S22" s="31"/>
      <c r="T22" s="31"/>
      <c r="U22" s="28"/>
      <c r="V22" s="27"/>
      <c r="W22" s="27"/>
      <c r="X22" s="27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844"/>
      <c r="AM22" s="845"/>
      <c r="AN22" s="57"/>
      <c r="AO22" s="57"/>
      <c r="AP22" s="57"/>
      <c r="AQ22" s="57"/>
      <c r="AR22" s="57"/>
      <c r="AS22" s="57"/>
    </row>
    <row r="23" spans="1:45">
      <c r="A23" s="869"/>
      <c r="B23" s="870">
        <v>21</v>
      </c>
      <c r="C23" s="870"/>
      <c r="D23" s="27"/>
      <c r="E23" s="28"/>
      <c r="F23" s="27">
        <v>0.3</v>
      </c>
      <c r="G23" s="26">
        <v>3</v>
      </c>
      <c r="H23" s="27"/>
      <c r="I23" s="27"/>
      <c r="J23" s="27"/>
      <c r="K23" s="27"/>
      <c r="L23" s="30"/>
      <c r="M23" s="27"/>
      <c r="N23" s="27"/>
      <c r="O23" s="30"/>
      <c r="P23" s="30"/>
      <c r="Q23" s="30"/>
      <c r="R23" s="30"/>
      <c r="S23" s="30"/>
      <c r="T23" s="30"/>
      <c r="U23" s="30"/>
      <c r="V23" s="27"/>
      <c r="W23" s="27"/>
      <c r="X23" s="27"/>
      <c r="Y23" s="30"/>
      <c r="Z23" s="30"/>
      <c r="AA23" s="30"/>
      <c r="AB23" s="30"/>
      <c r="AC23" s="30"/>
      <c r="AD23" s="30"/>
      <c r="AE23" s="30"/>
      <c r="AF23" s="31"/>
      <c r="AG23" s="31"/>
      <c r="AH23" s="31"/>
      <c r="AI23" s="31"/>
      <c r="AJ23" s="31"/>
      <c r="AK23" s="31"/>
      <c r="AL23" s="844"/>
      <c r="AM23" s="845"/>
      <c r="AN23" s="33"/>
      <c r="AO23" s="33"/>
      <c r="AP23" s="33"/>
      <c r="AQ23" s="33"/>
      <c r="AR23" s="33"/>
      <c r="AS23" s="33"/>
    </row>
    <row r="24" spans="1:45">
      <c r="A24" s="869"/>
      <c r="B24" s="870"/>
      <c r="C24" s="870"/>
      <c r="D24" s="34"/>
      <c r="E24" s="28"/>
      <c r="F24" s="34"/>
      <c r="G24" s="26">
        <v>2</v>
      </c>
      <c r="H24" s="27"/>
      <c r="I24" s="27"/>
      <c r="J24" s="27"/>
      <c r="K24" s="27"/>
      <c r="L24" s="31"/>
      <c r="M24" s="34"/>
      <c r="N24" s="34"/>
      <c r="O24" s="29"/>
      <c r="P24" s="31"/>
      <c r="Q24" s="31"/>
      <c r="R24" s="31"/>
      <c r="S24" s="31"/>
      <c r="T24" s="31"/>
      <c r="U24" s="31"/>
      <c r="V24" s="27"/>
      <c r="W24" s="28"/>
      <c r="X24" s="27"/>
      <c r="Y24" s="30"/>
      <c r="Z24" s="30"/>
      <c r="AA24" s="30"/>
      <c r="AB24" s="30"/>
      <c r="AC24" s="30"/>
      <c r="AD24" s="30"/>
      <c r="AE24" s="30"/>
      <c r="AF24" s="29"/>
      <c r="AG24" s="29"/>
      <c r="AH24" s="29"/>
      <c r="AI24" s="29"/>
      <c r="AJ24" s="29"/>
      <c r="AK24" s="29"/>
      <c r="AL24" s="844"/>
      <c r="AM24" s="845"/>
      <c r="AN24" s="58"/>
      <c r="AO24" s="58"/>
      <c r="AP24" s="58"/>
      <c r="AQ24" s="58"/>
      <c r="AR24" s="58"/>
      <c r="AS24" s="58">
        <v>3</v>
      </c>
    </row>
    <row r="25" spans="1:45">
      <c r="A25" s="869"/>
      <c r="B25" s="870"/>
      <c r="C25" s="870"/>
      <c r="D25" s="27"/>
      <c r="E25" s="27"/>
      <c r="F25" s="27"/>
      <c r="G25" s="26"/>
      <c r="H25" s="27"/>
      <c r="I25" s="27"/>
      <c r="J25" s="27"/>
      <c r="K25" s="27"/>
      <c r="L25" s="30"/>
      <c r="M25" s="27"/>
      <c r="N25" s="27"/>
      <c r="O25" s="30"/>
      <c r="P25" s="30"/>
      <c r="Q25" s="30"/>
      <c r="R25" s="30"/>
      <c r="S25" s="30"/>
      <c r="T25" s="30"/>
      <c r="U25" s="30"/>
      <c r="V25" s="30"/>
      <c r="W25" s="27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844"/>
      <c r="AM25" s="845"/>
      <c r="AN25" s="57"/>
      <c r="AO25" s="57"/>
      <c r="AP25" s="57"/>
      <c r="AQ25" s="57"/>
      <c r="AR25" s="57"/>
      <c r="AS25" s="30"/>
    </row>
    <row r="26" spans="1:45">
      <c r="A26" s="869"/>
      <c r="B26" s="870"/>
      <c r="C26" s="870"/>
      <c r="D26" s="27"/>
      <c r="E26" s="27"/>
      <c r="F26" s="27"/>
      <c r="G26" s="26"/>
      <c r="H26" s="27"/>
      <c r="I26" s="27"/>
      <c r="J26" s="27"/>
      <c r="K26" s="27"/>
      <c r="L26" s="30"/>
      <c r="M26" s="27"/>
      <c r="N26" s="27"/>
      <c r="O26" s="30"/>
      <c r="P26" s="30"/>
      <c r="Q26" s="30"/>
      <c r="R26" s="30"/>
      <c r="S26" s="30"/>
      <c r="T26" s="30"/>
      <c r="U26" s="30"/>
      <c r="V26" s="30"/>
      <c r="W26" s="27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844"/>
      <c r="AM26" s="845"/>
      <c r="AN26" s="57"/>
      <c r="AO26" s="57"/>
      <c r="AP26" s="57"/>
      <c r="AQ26" s="57"/>
      <c r="AR26" s="57"/>
      <c r="AS26" s="57"/>
    </row>
    <row r="27" spans="1:45">
      <c r="A27" s="869"/>
      <c r="B27" s="870"/>
      <c r="C27" s="870"/>
      <c r="D27" s="34"/>
      <c r="E27" s="34"/>
      <c r="F27" s="34"/>
      <c r="G27" s="26"/>
      <c r="H27" s="34"/>
      <c r="I27" s="34"/>
      <c r="J27" s="34"/>
      <c r="K27" s="34"/>
      <c r="L27" s="31"/>
      <c r="M27" s="34"/>
      <c r="N27" s="34"/>
      <c r="O27" s="31"/>
      <c r="P27" s="31"/>
      <c r="Q27" s="31"/>
      <c r="R27" s="31"/>
      <c r="S27" s="31"/>
      <c r="T27" s="31"/>
      <c r="U27" s="31"/>
      <c r="V27" s="31"/>
      <c r="W27" s="34"/>
      <c r="X27" s="31"/>
      <c r="Y27" s="29"/>
      <c r="Z27" s="31"/>
      <c r="AA27" s="30"/>
      <c r="AB27" s="30"/>
      <c r="AC27" s="30"/>
      <c r="AD27" s="31"/>
      <c r="AE27" s="31"/>
      <c r="AF27" s="31"/>
      <c r="AG27" s="31"/>
      <c r="AH27" s="31"/>
      <c r="AI27" s="31"/>
      <c r="AJ27" s="31"/>
      <c r="AK27" s="31"/>
      <c r="AL27" s="844"/>
      <c r="AM27" s="845"/>
      <c r="AN27" s="33"/>
      <c r="AO27" s="33"/>
      <c r="AP27" s="33"/>
      <c r="AQ27" s="33"/>
      <c r="AR27" s="33"/>
      <c r="AS27" s="33"/>
    </row>
    <row r="28" spans="1:45">
      <c r="A28" s="869"/>
      <c r="B28" s="870"/>
      <c r="C28" s="870"/>
      <c r="D28" s="27"/>
      <c r="E28" s="27"/>
      <c r="F28" s="27"/>
      <c r="G28" s="26"/>
      <c r="H28" s="27"/>
      <c r="I28" s="27"/>
      <c r="J28" s="27"/>
      <c r="K28" s="27"/>
      <c r="L28" s="30"/>
      <c r="M28" s="27"/>
      <c r="N28" s="27"/>
      <c r="O28" s="30"/>
      <c r="P28" s="30"/>
      <c r="Q28" s="30"/>
      <c r="R28" s="30"/>
      <c r="S28" s="30"/>
      <c r="T28" s="30"/>
      <c r="U28" s="30"/>
      <c r="V28" s="30"/>
      <c r="W28" s="27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844"/>
      <c r="AM28" s="845"/>
      <c r="AN28" s="57"/>
      <c r="AO28" s="57"/>
      <c r="AP28" s="57"/>
      <c r="AQ28" s="57"/>
      <c r="AR28" s="57"/>
      <c r="AS28" s="57"/>
    </row>
    <row r="29" spans="1:45">
      <c r="A29" s="869"/>
      <c r="B29" s="870"/>
      <c r="C29" s="870"/>
      <c r="D29" s="27"/>
      <c r="E29" s="27"/>
      <c r="F29" s="27"/>
      <c r="G29" s="26"/>
      <c r="H29" s="27"/>
      <c r="I29" s="27"/>
      <c r="J29" s="27"/>
      <c r="K29" s="27"/>
      <c r="L29" s="30"/>
      <c r="M29" s="27"/>
      <c r="N29" s="27"/>
      <c r="O29" s="30"/>
      <c r="P29" s="30"/>
      <c r="Q29" s="30"/>
      <c r="R29" s="30"/>
      <c r="S29" s="30"/>
      <c r="T29" s="30"/>
      <c r="U29" s="30"/>
      <c r="V29" s="30"/>
      <c r="W29" s="27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844"/>
      <c r="AM29" s="845"/>
      <c r="AN29" s="57"/>
      <c r="AO29" s="57"/>
      <c r="AP29" s="57"/>
      <c r="AQ29" s="57"/>
      <c r="AR29" s="57"/>
      <c r="AS29" s="57"/>
    </row>
    <row r="30" spans="1:45">
      <c r="A30" s="869"/>
      <c r="B30" s="870"/>
      <c r="C30" s="870"/>
      <c r="D30" s="27"/>
      <c r="E30" s="27"/>
      <c r="F30" s="27"/>
      <c r="G30" s="26"/>
      <c r="H30" s="27"/>
      <c r="I30" s="27"/>
      <c r="J30" s="27"/>
      <c r="K30" s="27"/>
      <c r="L30" s="30"/>
      <c r="M30" s="27"/>
      <c r="N30" s="27"/>
      <c r="O30" s="30"/>
      <c r="P30" s="30"/>
      <c r="Q30" s="30"/>
      <c r="R30" s="30"/>
      <c r="S30" s="30"/>
      <c r="T30" s="30"/>
      <c r="U30" s="30"/>
      <c r="V30" s="30"/>
      <c r="W30" s="27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59"/>
      <c r="AM30" s="57"/>
      <c r="AN30" s="57"/>
      <c r="AO30" s="57"/>
      <c r="AP30" s="57"/>
      <c r="AQ30" s="57"/>
      <c r="AR30" s="57"/>
      <c r="AS30" s="57"/>
    </row>
    <row r="31" spans="1:45">
      <c r="A31" s="869"/>
      <c r="B31" s="870"/>
      <c r="C31" s="870"/>
      <c r="D31" s="27"/>
      <c r="E31" s="27"/>
      <c r="F31" s="27"/>
      <c r="G31" s="26"/>
      <c r="H31" s="27"/>
      <c r="I31" s="27"/>
      <c r="J31" s="27"/>
      <c r="K31" s="27"/>
      <c r="L31" s="30"/>
      <c r="M31" s="27"/>
      <c r="N31" s="27"/>
      <c r="O31" s="30"/>
      <c r="P31" s="30"/>
      <c r="Q31" s="30"/>
      <c r="R31" s="30"/>
      <c r="S31" s="30"/>
      <c r="T31" s="30"/>
      <c r="U31" s="30"/>
      <c r="V31" s="30"/>
      <c r="W31" s="27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59"/>
      <c r="AM31" s="57"/>
      <c r="AN31" s="57"/>
      <c r="AO31" s="57"/>
      <c r="AP31" s="57"/>
      <c r="AQ31" s="57"/>
      <c r="AR31" s="57"/>
      <c r="AS31" s="57"/>
    </row>
    <row r="32" spans="1:45">
      <c r="A32" s="869"/>
      <c r="B32" s="870"/>
      <c r="C32" s="870"/>
      <c r="D32" s="27"/>
      <c r="E32" s="27"/>
      <c r="F32" s="27"/>
      <c r="G32" s="26"/>
      <c r="H32" s="27"/>
      <c r="I32" s="27"/>
      <c r="J32" s="27"/>
      <c r="K32" s="27"/>
      <c r="L32" s="30"/>
      <c r="M32" s="27"/>
      <c r="N32" s="27"/>
      <c r="O32" s="30"/>
      <c r="P32" s="30"/>
      <c r="Q32" s="30"/>
      <c r="R32" s="30"/>
      <c r="S32" s="30"/>
      <c r="T32" s="30"/>
      <c r="U32" s="30"/>
      <c r="V32" s="30"/>
      <c r="W32" s="27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59"/>
      <c r="AM32" s="57"/>
      <c r="AN32" s="57"/>
      <c r="AO32" s="57"/>
      <c r="AP32" s="57"/>
      <c r="AQ32" s="57"/>
      <c r="AR32" s="57"/>
      <c r="AS32" s="57"/>
    </row>
    <row r="33" spans="1:45">
      <c r="A33" s="869"/>
      <c r="B33" s="870"/>
      <c r="C33" s="870"/>
      <c r="D33" s="27"/>
      <c r="E33" s="27"/>
      <c r="F33" s="27"/>
      <c r="G33" s="26"/>
      <c r="H33" s="27"/>
      <c r="I33" s="27"/>
      <c r="J33" s="27"/>
      <c r="K33" s="27"/>
      <c r="L33" s="30"/>
      <c r="M33" s="27"/>
      <c r="N33" s="27"/>
      <c r="O33" s="30"/>
      <c r="P33" s="30"/>
      <c r="Q33" s="30"/>
      <c r="R33" s="30"/>
      <c r="S33" s="30"/>
      <c r="T33" s="30"/>
      <c r="U33" s="30"/>
      <c r="V33" s="30"/>
      <c r="W33" s="27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59"/>
      <c r="AM33" s="57"/>
      <c r="AN33" s="57"/>
      <c r="AO33" s="57"/>
      <c r="AP33" s="57"/>
      <c r="AQ33" s="57"/>
      <c r="AR33" s="57"/>
      <c r="AS33" s="57"/>
    </row>
    <row r="34" spans="1:45">
      <c r="A34" s="869"/>
      <c r="B34" s="870"/>
      <c r="C34" s="870"/>
      <c r="D34" s="27"/>
      <c r="E34" s="27"/>
      <c r="F34" s="27"/>
      <c r="G34" s="26"/>
      <c r="H34" s="27"/>
      <c r="I34" s="27"/>
      <c r="J34" s="27"/>
      <c r="K34" s="27"/>
      <c r="L34" s="30"/>
      <c r="M34" s="27"/>
      <c r="N34" s="27"/>
      <c r="O34" s="30"/>
      <c r="P34" s="30"/>
      <c r="Q34" s="30"/>
      <c r="R34" s="30"/>
      <c r="S34" s="30"/>
      <c r="T34" s="30"/>
      <c r="U34" s="30"/>
      <c r="V34" s="30"/>
      <c r="W34" s="27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59"/>
      <c r="AM34" s="57"/>
      <c r="AN34" s="57"/>
      <c r="AO34" s="57"/>
      <c r="AP34" s="57"/>
      <c r="AQ34" s="57"/>
      <c r="AR34" s="57"/>
      <c r="AS34" s="57"/>
    </row>
    <row r="35" spans="1:45">
      <c r="A35" s="869"/>
      <c r="B35" s="870"/>
      <c r="C35" s="870"/>
      <c r="D35" s="27"/>
      <c r="E35" s="27"/>
      <c r="F35" s="27"/>
      <c r="G35" s="26"/>
      <c r="H35" s="27"/>
      <c r="I35" s="27"/>
      <c r="J35" s="27"/>
      <c r="K35" s="27"/>
      <c r="L35" s="30"/>
      <c r="M35" s="27"/>
      <c r="N35" s="27"/>
      <c r="O35" s="30"/>
      <c r="P35" s="30"/>
      <c r="Q35" s="30"/>
      <c r="R35" s="30"/>
      <c r="S35" s="30"/>
      <c r="T35" s="30"/>
      <c r="U35" s="30"/>
      <c r="V35" s="30"/>
      <c r="W35" s="27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59"/>
      <c r="AM35" s="57"/>
      <c r="AN35" s="57"/>
      <c r="AO35" s="57"/>
      <c r="AP35" s="57"/>
      <c r="AQ35" s="57"/>
      <c r="AR35" s="57"/>
      <c r="AS35" s="57"/>
    </row>
    <row r="36" spans="1:45">
      <c r="A36" s="869"/>
      <c r="B36" s="870"/>
      <c r="C36" s="870"/>
      <c r="D36" s="27"/>
      <c r="E36" s="27"/>
      <c r="F36" s="27"/>
      <c r="G36" s="26"/>
      <c r="H36" s="27"/>
      <c r="I36" s="27"/>
      <c r="J36" s="27"/>
      <c r="K36" s="27"/>
      <c r="L36" s="30"/>
      <c r="M36" s="27"/>
      <c r="N36" s="27"/>
      <c r="O36" s="30"/>
      <c r="P36" s="30"/>
      <c r="Q36" s="30"/>
      <c r="R36" s="30"/>
      <c r="S36" s="30"/>
      <c r="T36" s="30"/>
      <c r="U36" s="30"/>
      <c r="V36" s="30"/>
      <c r="W36" s="27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59"/>
      <c r="AM36" s="57"/>
      <c r="AN36" s="57"/>
      <c r="AO36" s="57"/>
      <c r="AP36" s="57"/>
      <c r="AQ36" s="57"/>
      <c r="AR36" s="57"/>
      <c r="AS36" s="57"/>
    </row>
    <row r="37" spans="1:45">
      <c r="A37" s="869"/>
      <c r="B37" s="870"/>
      <c r="C37" s="870"/>
      <c r="D37" s="27"/>
      <c r="E37" s="27"/>
      <c r="F37" s="27"/>
      <c r="G37" s="26"/>
      <c r="H37" s="27"/>
      <c r="I37" s="27"/>
      <c r="J37" s="27"/>
      <c r="K37" s="27"/>
      <c r="L37" s="30"/>
      <c r="M37" s="27"/>
      <c r="N37" s="27"/>
      <c r="O37" s="30"/>
      <c r="P37" s="30"/>
      <c r="Q37" s="30"/>
      <c r="R37" s="30"/>
      <c r="S37" s="30"/>
      <c r="T37" s="30"/>
      <c r="U37" s="30"/>
      <c r="V37" s="30"/>
      <c r="W37" s="27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844"/>
      <c r="AM37" s="845"/>
      <c r="AN37" s="57"/>
      <c r="AO37" s="57"/>
      <c r="AP37" s="57"/>
      <c r="AQ37" s="57"/>
      <c r="AR37" s="57"/>
      <c r="AS37" s="57"/>
    </row>
    <row r="38" spans="1:45" ht="15.75" thickBot="1">
      <c r="A38" s="869"/>
      <c r="B38" s="32"/>
      <c r="C38" s="33"/>
      <c r="D38" s="27"/>
      <c r="E38" s="27"/>
      <c r="F38" s="27"/>
      <c r="G38" s="35"/>
      <c r="H38" s="27"/>
      <c r="I38" s="27"/>
      <c r="J38" s="27"/>
      <c r="K38" s="27"/>
      <c r="L38" s="30"/>
      <c r="M38" s="27"/>
      <c r="N38" s="27"/>
      <c r="O38" s="30"/>
      <c r="P38" s="30"/>
      <c r="Q38" s="30"/>
      <c r="R38" s="30"/>
      <c r="S38" s="30"/>
      <c r="T38" s="30"/>
      <c r="U38" s="30"/>
      <c r="V38" s="30"/>
      <c r="W38" s="27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882"/>
      <c r="AM38" s="883"/>
      <c r="AN38" s="30"/>
      <c r="AO38" s="30"/>
      <c r="AP38" s="30"/>
      <c r="AQ38" s="30"/>
      <c r="AR38" s="30"/>
      <c r="AS38" s="30"/>
    </row>
    <row r="39" spans="1:45" ht="30.75" thickBot="1">
      <c r="A39" s="36" t="s">
        <v>99</v>
      </c>
      <c r="B39" s="874">
        <f>+B7+B20</f>
        <v>0</v>
      </c>
      <c r="C39" s="875"/>
      <c r="D39" s="37">
        <f>SUM(D7:D29)</f>
        <v>100</v>
      </c>
      <c r="E39" s="38">
        <f>+SUM(E7:E20)</f>
        <v>0</v>
      </c>
      <c r="F39" s="39">
        <f>+SUM(F7:F20)</f>
        <v>0</v>
      </c>
      <c r="G39" s="39"/>
      <c r="H39" s="39">
        <f>SUM(H7:H20)</f>
        <v>1</v>
      </c>
      <c r="I39" s="39">
        <f>+SUM(I8)</f>
        <v>20</v>
      </c>
      <c r="J39" s="39">
        <f>+SUM(J7:J9)</f>
        <v>22</v>
      </c>
      <c r="K39" s="39">
        <f>+SUM(K10:K14)</f>
        <v>9</v>
      </c>
      <c r="L39" s="39">
        <f>SUM(L7:L20)</f>
        <v>6</v>
      </c>
      <c r="M39" s="39">
        <f>SUM(M7:M20)</f>
        <v>100</v>
      </c>
      <c r="N39" s="39">
        <f>+N12</f>
        <v>1</v>
      </c>
      <c r="O39" s="39">
        <f>SUM(O7:O20)</f>
        <v>5</v>
      </c>
      <c r="P39" s="37">
        <f>SUM(P7:P20)</f>
        <v>22</v>
      </c>
      <c r="Q39" s="37">
        <f>+Q7</f>
        <v>40</v>
      </c>
      <c r="R39" s="39">
        <f>+SUM(R8)</f>
        <v>20</v>
      </c>
      <c r="S39" s="39">
        <f>+SUM(S9)</f>
        <v>3</v>
      </c>
      <c r="T39" s="39">
        <f>+SUM(T10)</f>
        <v>3</v>
      </c>
      <c r="U39" s="39">
        <f>+SUM(U7:U24)</f>
        <v>3</v>
      </c>
      <c r="V39" s="39">
        <f>+SUM(V7:V24)</f>
        <v>8</v>
      </c>
      <c r="W39" s="39">
        <f>+SUM(W7:W24)</f>
        <v>3</v>
      </c>
      <c r="X39" s="39">
        <f>+SUM(X7:X24)</f>
        <v>5</v>
      </c>
      <c r="Y39" s="39">
        <f>+SUM(Y17:Y20)</f>
        <v>9</v>
      </c>
      <c r="Z39" s="39">
        <f>+SUM(Z14:Z21)</f>
        <v>9</v>
      </c>
      <c r="AA39" s="39">
        <f>+SUM(AA18:AA21)</f>
        <v>22</v>
      </c>
      <c r="AB39" s="39">
        <f>+SUM(AB18:AB21)</f>
        <v>8</v>
      </c>
      <c r="AC39" s="39">
        <f>+SUM(AC19:AC22)</f>
        <v>6</v>
      </c>
      <c r="AD39" s="39">
        <f>+AD19</f>
        <v>5</v>
      </c>
      <c r="AE39" s="39">
        <f t="shared" ref="AE39:AK39" si="0">+AE19</f>
        <v>4</v>
      </c>
      <c r="AF39" s="39">
        <f t="shared" si="0"/>
        <v>2</v>
      </c>
      <c r="AG39" s="39">
        <f t="shared" si="0"/>
        <v>2</v>
      </c>
      <c r="AH39" s="39">
        <f t="shared" si="0"/>
        <v>2</v>
      </c>
      <c r="AI39" s="39">
        <f t="shared" si="0"/>
        <v>4</v>
      </c>
      <c r="AJ39" s="39">
        <f t="shared" si="0"/>
        <v>2</v>
      </c>
      <c r="AK39" s="39">
        <f t="shared" si="0"/>
        <v>2</v>
      </c>
      <c r="AL39" s="874">
        <f>+AL19</f>
        <v>2</v>
      </c>
      <c r="AM39" s="875"/>
      <c r="AN39" s="40">
        <f>+AN19</f>
        <v>2</v>
      </c>
      <c r="AO39" s="40">
        <f>+SUM(AO19)</f>
        <v>4.4000000000000004</v>
      </c>
      <c r="AP39" s="40">
        <f>+SUM(AP20)</f>
        <v>6.3</v>
      </c>
      <c r="AQ39" s="40">
        <f>+SUM(AQ20)</f>
        <v>10</v>
      </c>
      <c r="AR39" s="40">
        <f>+SUM(AR20)</f>
        <v>4</v>
      </c>
      <c r="AS39" s="40">
        <f>+AS24</f>
        <v>3</v>
      </c>
    </row>
    <row r="40" spans="1:45">
      <c r="A40" s="43"/>
      <c r="B40" s="44"/>
      <c r="C40" s="44"/>
      <c r="D40" s="45"/>
      <c r="E40" s="44"/>
      <c r="F40" s="44"/>
      <c r="G40" s="44"/>
      <c r="H40" s="46"/>
      <c r="I40" s="46"/>
      <c r="J40" s="46"/>
      <c r="K40" s="46"/>
      <c r="L40" s="46"/>
      <c r="M40" s="46"/>
      <c r="N40" s="46"/>
      <c r="O40" s="46"/>
      <c r="P40" s="47"/>
      <c r="Q40" s="47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</row>
    <row r="41" spans="1:45">
      <c r="A41" s="43"/>
      <c r="B41" s="44"/>
      <c r="C41" s="44"/>
      <c r="D41" s="44"/>
      <c r="E41" s="44"/>
      <c r="F41" s="44"/>
      <c r="G41" s="44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</row>
    <row r="42" spans="1:45">
      <c r="A42" s="43"/>
      <c r="B42" s="44"/>
      <c r="C42" s="44"/>
      <c r="D42" s="44"/>
      <c r="E42" s="44"/>
      <c r="F42" s="44"/>
      <c r="G42" s="44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</row>
    <row r="43" spans="1:45">
      <c r="A43" s="43"/>
      <c r="B43" s="44"/>
      <c r="C43" s="44"/>
      <c r="D43" s="44"/>
      <c r="E43" s="44"/>
      <c r="F43" s="44"/>
      <c r="G43" s="44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</row>
    <row r="44" spans="1:45">
      <c r="A44" s="43"/>
      <c r="B44" s="44"/>
      <c r="C44" s="44"/>
      <c r="D44" s="44"/>
      <c r="E44" s="44"/>
      <c r="F44" s="44"/>
      <c r="G44" s="44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</row>
    <row r="45" spans="1:45">
      <c r="A45" s="43"/>
      <c r="B45" s="44"/>
      <c r="C45" s="44"/>
      <c r="D45" s="44"/>
      <c r="E45" s="44"/>
      <c r="F45" s="44"/>
      <c r="G45" s="44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</row>
    <row r="46" spans="1:45" ht="23.25" customHeight="1">
      <c r="A46" s="43"/>
      <c r="B46" s="44"/>
      <c r="C46" s="44"/>
      <c r="D46" s="44"/>
      <c r="E46" s="873" t="s">
        <v>100</v>
      </c>
      <c r="F46" s="873"/>
      <c r="G46" s="873"/>
      <c r="H46" s="46"/>
      <c r="I46" s="46"/>
      <c r="J46" s="46"/>
      <c r="K46" s="46"/>
      <c r="L46" s="873" t="s">
        <v>101</v>
      </c>
      <c r="M46" s="873"/>
      <c r="N46" s="873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</row>
    <row r="47" spans="1:45">
      <c r="A47" s="43"/>
      <c r="B47" s="44"/>
      <c r="C47" s="44"/>
      <c r="D47" s="44"/>
      <c r="E47" s="871" t="s">
        <v>102</v>
      </c>
      <c r="F47" s="871"/>
      <c r="G47" s="871"/>
      <c r="H47" s="46"/>
      <c r="I47" s="46"/>
      <c r="J47" s="46"/>
      <c r="K47" s="46"/>
      <c r="L47" s="872" t="s">
        <v>103</v>
      </c>
      <c r="M47" s="872"/>
      <c r="N47" s="872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</row>
    <row r="48" spans="1:45">
      <c r="A48" s="43"/>
      <c r="B48" s="44"/>
      <c r="C48" s="44"/>
      <c r="D48" s="44"/>
      <c r="E48" s="872" t="s">
        <v>104</v>
      </c>
      <c r="F48" s="872"/>
      <c r="G48" s="872"/>
      <c r="H48" s="46"/>
      <c r="I48" s="46"/>
      <c r="J48" s="46"/>
      <c r="K48" s="46"/>
      <c r="L48" s="872" t="s">
        <v>105</v>
      </c>
      <c r="M48" s="872"/>
      <c r="N48" s="872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</row>
  </sheetData>
  <mergeCells count="111">
    <mergeCell ref="A7:A38"/>
    <mergeCell ref="B7:C7"/>
    <mergeCell ref="AS4:AS5"/>
    <mergeCell ref="AL4:AM5"/>
    <mergeCell ref="AN4:AN5"/>
    <mergeCell ref="AO4:AO5"/>
    <mergeCell ref="AP4:AP5"/>
    <mergeCell ref="AQ4:AQ5"/>
    <mergeCell ref="AR4:AR5"/>
    <mergeCell ref="AL38:AM38"/>
    <mergeCell ref="AL10:AM10"/>
    <mergeCell ref="AL11:AM11"/>
    <mergeCell ref="AL12:AM12"/>
    <mergeCell ref="AL13:AM13"/>
    <mergeCell ref="AL14:AM14"/>
    <mergeCell ref="AL15:AM15"/>
    <mergeCell ref="AL7:AM7"/>
    <mergeCell ref="AL8:AM8"/>
    <mergeCell ref="AL9:AM9"/>
    <mergeCell ref="Y4:Y5"/>
    <mergeCell ref="Z4:Z5"/>
    <mergeCell ref="O4:O5"/>
    <mergeCell ref="P4:P5"/>
    <mergeCell ref="N4:N5"/>
    <mergeCell ref="A1:AS1"/>
    <mergeCell ref="A2:AS2"/>
    <mergeCell ref="B3:E3"/>
    <mergeCell ref="AL3:AM3"/>
    <mergeCell ref="A4:A6"/>
    <mergeCell ref="B4:E4"/>
    <mergeCell ref="H4:H5"/>
    <mergeCell ref="AF4:AF5"/>
    <mergeCell ref="AG4:AG5"/>
    <mergeCell ref="AH4:AH5"/>
    <mergeCell ref="AI4:AI5"/>
    <mergeCell ref="AJ4:AJ5"/>
    <mergeCell ref="Q4:Q5"/>
    <mergeCell ref="R4:R5"/>
    <mergeCell ref="S4:S5"/>
    <mergeCell ref="T4:T5"/>
    <mergeCell ref="B5:E5"/>
    <mergeCell ref="B6:C6"/>
    <mergeCell ref="AL6:AM6"/>
    <mergeCell ref="AK4:AK5"/>
    <mergeCell ref="U4:U5"/>
    <mergeCell ref="V4:V5"/>
    <mergeCell ref="W4:W5"/>
    <mergeCell ref="X4:X5"/>
    <mergeCell ref="AD4:AD5"/>
    <mergeCell ref="AE4:AE5"/>
    <mergeCell ref="AA4:AA5"/>
    <mergeCell ref="AB4:AB5"/>
    <mergeCell ref="AC4:AC5"/>
    <mergeCell ref="I4:I5"/>
    <mergeCell ref="J4:J5"/>
    <mergeCell ref="K4:K5"/>
    <mergeCell ref="L4:L5"/>
    <mergeCell ref="M4:M5"/>
    <mergeCell ref="AL16:AM16"/>
    <mergeCell ref="AL17:AM17"/>
    <mergeCell ref="AL18:AM18"/>
    <mergeCell ref="B19:C19"/>
    <mergeCell ref="AL19:AM19"/>
    <mergeCell ref="B20:C20"/>
    <mergeCell ref="AL20:AM20"/>
    <mergeCell ref="B14:C14"/>
    <mergeCell ref="B15:C15"/>
    <mergeCell ref="B16:C16"/>
    <mergeCell ref="B17:C17"/>
    <mergeCell ref="B18:C18"/>
    <mergeCell ref="B8:C8"/>
    <mergeCell ref="B9:C9"/>
    <mergeCell ref="B10:C10"/>
    <mergeCell ref="B37:C37"/>
    <mergeCell ref="B11:C11"/>
    <mergeCell ref="B12:C12"/>
    <mergeCell ref="B13:C13"/>
    <mergeCell ref="B24:C24"/>
    <mergeCell ref="B25:C25"/>
    <mergeCell ref="B26:C26"/>
    <mergeCell ref="B27:C27"/>
    <mergeCell ref="B28:C28"/>
    <mergeCell ref="B29:C29"/>
    <mergeCell ref="B21:C21"/>
    <mergeCell ref="B22:C22"/>
    <mergeCell ref="B23:C23"/>
    <mergeCell ref="E48:G48"/>
    <mergeCell ref="L48:N48"/>
    <mergeCell ref="E46:G46"/>
    <mergeCell ref="L46:N46"/>
    <mergeCell ref="E47:G47"/>
    <mergeCell ref="L47:N47"/>
    <mergeCell ref="AL27:AM27"/>
    <mergeCell ref="AL28:AM28"/>
    <mergeCell ref="AL29:AM29"/>
    <mergeCell ref="AL37:AM37"/>
    <mergeCell ref="B39:C39"/>
    <mergeCell ref="B30:C30"/>
    <mergeCell ref="B31:C31"/>
    <mergeCell ref="AL21:AM21"/>
    <mergeCell ref="AL22:AM22"/>
    <mergeCell ref="AL23:AM23"/>
    <mergeCell ref="AL24:AM24"/>
    <mergeCell ref="AL25:AM25"/>
    <mergeCell ref="AL39:AM39"/>
    <mergeCell ref="B32:C32"/>
    <mergeCell ref="B33:C33"/>
    <mergeCell ref="B34:C34"/>
    <mergeCell ref="B35:C35"/>
    <mergeCell ref="B36:C36"/>
    <mergeCell ref="AL26:AM2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fitToPage="1"/>
  </sheetPr>
  <dimension ref="A1:K234"/>
  <sheetViews>
    <sheetView tabSelected="1" view="pageBreakPreview" zoomScaleNormal="100" zoomScaleSheetLayoutView="100" workbookViewId="0">
      <selection activeCell="B211" sqref="B211"/>
    </sheetView>
  </sheetViews>
  <sheetFormatPr baseColWidth="10" defaultColWidth="10.7109375" defaultRowHeight="15"/>
  <cols>
    <col min="1" max="1" width="4.28515625" style="161" customWidth="1"/>
    <col min="2" max="2" width="41.85546875" style="161" customWidth="1"/>
    <col min="3" max="3" width="19.28515625" style="161" customWidth="1"/>
    <col min="4" max="4" width="13.7109375" style="161" customWidth="1"/>
    <col min="5" max="5" width="14.28515625" style="161" customWidth="1"/>
    <col min="6" max="6" width="20.28515625" style="461" customWidth="1"/>
    <col min="7" max="7" width="17.85546875" style="462" customWidth="1"/>
    <col min="8" max="8" width="18.28515625" style="161" customWidth="1"/>
    <col min="9" max="10" width="10.7109375" style="161"/>
    <col min="11" max="11" width="12.28515625" style="161" bestFit="1" customWidth="1"/>
    <col min="12" max="16384" width="10.7109375" style="161"/>
  </cols>
  <sheetData>
    <row r="1" spans="1:9" ht="21" thickBot="1">
      <c r="A1" s="885" t="s">
        <v>109</v>
      </c>
      <c r="B1" s="886"/>
      <c r="C1" s="886"/>
      <c r="D1" s="886"/>
      <c r="E1" s="886"/>
      <c r="F1" s="886"/>
      <c r="G1" s="886"/>
      <c r="H1" s="887"/>
      <c r="I1" s="250"/>
    </row>
    <row r="2" spans="1:9" ht="18.75" thickBot="1">
      <c r="A2" s="243"/>
      <c r="B2" s="238"/>
      <c r="C2" s="157"/>
      <c r="D2" s="158"/>
      <c r="E2" s="239"/>
      <c r="F2" s="240"/>
      <c r="G2" s="160"/>
      <c r="H2" s="242"/>
    </row>
    <row r="3" spans="1:9">
      <c r="A3" s="243"/>
      <c r="B3" s="153" t="s">
        <v>110</v>
      </c>
      <c r="C3" s="911" t="s">
        <v>111</v>
      </c>
      <c r="D3" s="912"/>
      <c r="E3" s="912"/>
      <c r="F3" s="912"/>
      <c r="G3" s="912"/>
      <c r="H3" s="913"/>
    </row>
    <row r="4" spans="1:9">
      <c r="A4" s="243"/>
      <c r="B4" s="154" t="s">
        <v>112</v>
      </c>
      <c r="C4" s="902" t="str">
        <f>PRESUPUESTO!A1</f>
        <v>" MEJORAMIENTO, ADECUACIÓN MENOR Y MANTENIMIENTO DE LA INFRAESTRUCTURA DE LAS INSTITUCIONES EDUCATIVAS URBANAS Y RURALES DEL MUNICIPIO DE SAN JOSÉ DE CÚCUTA"</v>
      </c>
      <c r="D4" s="903"/>
      <c r="E4" s="903"/>
      <c r="F4" s="903"/>
      <c r="G4" s="903"/>
      <c r="H4" s="904"/>
    </row>
    <row r="5" spans="1:9">
      <c r="A5" s="243"/>
      <c r="B5" s="155" t="str">
        <f>PRESUPUESTO!G4</f>
        <v>FECHA: JULIO 2023</v>
      </c>
      <c r="C5" s="905"/>
      <c r="D5" s="906"/>
      <c r="E5" s="906"/>
      <c r="F5" s="906"/>
      <c r="G5" s="906"/>
      <c r="H5" s="907"/>
    </row>
    <row r="6" spans="1:9" ht="57.75" customHeight="1" thickBot="1">
      <c r="A6" s="243"/>
      <c r="B6" s="151" t="s">
        <v>113</v>
      </c>
      <c r="C6" s="152">
        <f>+PRESUPUESTO!A11</f>
        <v>1.1000000000000001</v>
      </c>
      <c r="D6" s="908" t="str">
        <f>+PRESUPUESTO!C11</f>
        <v>DESMONTE, DEMOLICIONES Y RETIRO DE ALISTADO O PLANTILLA DE NIVELACION DE PISO (TORTA) CONSIDERANDO EL ESTADO DE LA MISMA EN EL SITIO</v>
      </c>
      <c r="E6" s="909"/>
      <c r="F6" s="909"/>
      <c r="G6" s="909"/>
      <c r="H6" s="910"/>
    </row>
    <row r="7" spans="1:9" ht="16.5" thickBot="1">
      <c r="A7" s="243"/>
      <c r="B7" s="156" t="s">
        <v>114</v>
      </c>
      <c r="C7" s="244"/>
      <c r="D7" s="217"/>
      <c r="E7" s="217"/>
      <c r="F7" s="159"/>
      <c r="G7" s="218" t="s">
        <v>59</v>
      </c>
      <c r="H7" s="219" t="str">
        <f>PRESUPUESTO!D11</f>
        <v>M2</v>
      </c>
    </row>
    <row r="8" spans="1:9" ht="15.75" thickBot="1">
      <c r="A8" s="243"/>
      <c r="B8" s="212" t="s">
        <v>115</v>
      </c>
      <c r="C8" s="214" t="s">
        <v>97</v>
      </c>
      <c r="D8" s="214" t="s">
        <v>116</v>
      </c>
      <c r="E8" s="214" t="s">
        <v>117</v>
      </c>
      <c r="F8" s="207" t="s">
        <v>118</v>
      </c>
      <c r="G8" s="220" t="s">
        <v>119</v>
      </c>
      <c r="H8" s="221"/>
    </row>
    <row r="9" spans="1:9" ht="15.75" thickBot="1">
      <c r="A9" s="243"/>
      <c r="B9" s="213" t="s">
        <v>120</v>
      </c>
      <c r="C9" s="215" t="s">
        <v>121</v>
      </c>
      <c r="D9" s="216">
        <v>0.08</v>
      </c>
      <c r="E9" s="215">
        <f>H26</f>
        <v>15633.333333333332</v>
      </c>
      <c r="F9" s="222"/>
      <c r="G9" s="223">
        <f>+E9*D9</f>
        <v>1250.6666666666665</v>
      </c>
      <c r="H9" s="158"/>
    </row>
    <row r="10" spans="1:9" ht="15.75" thickBot="1">
      <c r="A10" s="243"/>
      <c r="B10" s="182"/>
      <c r="C10" s="183"/>
      <c r="D10" s="184"/>
      <c r="E10" s="184" t="s">
        <v>122</v>
      </c>
      <c r="F10" s="224"/>
      <c r="G10" s="187"/>
      <c r="H10" s="188">
        <f>SUM(G9:G9)</f>
        <v>1250.6666666666665</v>
      </c>
    </row>
    <row r="11" spans="1:9" ht="16.5" thickBot="1">
      <c r="A11" s="243"/>
      <c r="B11" s="156" t="s">
        <v>123</v>
      </c>
      <c r="C11" s="157"/>
      <c r="D11" s="158"/>
      <c r="E11" s="158"/>
      <c r="F11" s="159"/>
      <c r="G11" s="160"/>
    </row>
    <row r="12" spans="1:9" ht="15.75" thickBot="1">
      <c r="A12" s="243"/>
      <c r="B12" s="162" t="s">
        <v>115</v>
      </c>
      <c r="C12" s="163" t="s">
        <v>59</v>
      </c>
      <c r="D12" s="163" t="s">
        <v>16</v>
      </c>
      <c r="E12" s="163" t="s">
        <v>124</v>
      </c>
      <c r="F12" s="164" t="s">
        <v>118</v>
      </c>
      <c r="G12" s="165" t="s">
        <v>119</v>
      </c>
      <c r="H12" s="158"/>
    </row>
    <row r="13" spans="1:9">
      <c r="A13" s="243"/>
      <c r="B13" s="166"/>
      <c r="C13" s="167"/>
      <c r="D13" s="167"/>
      <c r="E13" s="168"/>
      <c r="F13" s="169"/>
      <c r="G13" s="170"/>
      <c r="H13" s="158"/>
    </row>
    <row r="14" spans="1:9">
      <c r="A14" s="243"/>
      <c r="B14" s="171"/>
      <c r="C14" s="172"/>
      <c r="D14" s="172"/>
      <c r="E14" s="173"/>
      <c r="F14" s="174"/>
      <c r="G14" s="175"/>
      <c r="H14" s="158"/>
    </row>
    <row r="15" spans="1:9" ht="15.75" thickBot="1">
      <c r="A15" s="243"/>
      <c r="B15" s="176"/>
      <c r="C15" s="177"/>
      <c r="D15" s="178"/>
      <c r="E15" s="179"/>
      <c r="F15" s="180"/>
      <c r="G15" s="181"/>
      <c r="H15" s="158"/>
    </row>
    <row r="16" spans="1:9" ht="15.75" thickBot="1">
      <c r="A16" s="243"/>
      <c r="B16" s="182"/>
      <c r="C16" s="183"/>
      <c r="D16" s="184"/>
      <c r="E16" s="185" t="s">
        <v>125</v>
      </c>
      <c r="F16" s="186"/>
      <c r="G16" s="187"/>
      <c r="H16" s="188">
        <f>SUM(G13:G15)</f>
        <v>0</v>
      </c>
    </row>
    <row r="17" spans="1:9" ht="16.5" thickBot="1">
      <c r="A17" s="243"/>
      <c r="B17" s="156" t="s">
        <v>126</v>
      </c>
      <c r="C17" s="157"/>
      <c r="D17" s="158"/>
      <c r="E17" s="158"/>
      <c r="F17" s="159"/>
      <c r="G17" s="160"/>
    </row>
    <row r="18" spans="1:9" ht="15.75" thickBot="1">
      <c r="A18" s="243"/>
      <c r="B18" s="189" t="s">
        <v>115</v>
      </c>
      <c r="C18" s="190" t="s">
        <v>127</v>
      </c>
      <c r="D18" s="191" t="s">
        <v>128</v>
      </c>
      <c r="E18" s="192" t="s">
        <v>124</v>
      </c>
      <c r="F18" s="193" t="s">
        <v>129</v>
      </c>
      <c r="G18" s="194" t="s">
        <v>119</v>
      </c>
      <c r="H18" s="158"/>
    </row>
    <row r="19" spans="1:9">
      <c r="A19" s="243"/>
      <c r="B19" s="195" t="s">
        <v>130</v>
      </c>
      <c r="C19" s="196">
        <v>0.2</v>
      </c>
      <c r="D19" s="196">
        <v>1</v>
      </c>
      <c r="E19" s="197">
        <v>6780</v>
      </c>
      <c r="F19" s="225">
        <f>C19*D19</f>
        <v>0.2</v>
      </c>
      <c r="G19" s="198">
        <f>E19*F19</f>
        <v>1356</v>
      </c>
      <c r="H19" s="158"/>
    </row>
    <row r="20" spans="1:9" ht="15.75" thickBot="1">
      <c r="A20" s="243"/>
      <c r="B20" s="199"/>
      <c r="C20" s="200"/>
      <c r="D20" s="201"/>
      <c r="E20" s="202"/>
      <c r="F20" s="203"/>
      <c r="G20" s="204"/>
      <c r="H20" s="158"/>
    </row>
    <row r="21" spans="1:9" ht="15.75" thickBot="1">
      <c r="A21" s="243"/>
      <c r="B21" s="182"/>
      <c r="C21" s="183"/>
      <c r="D21" s="184"/>
      <c r="E21" s="185" t="s">
        <v>131</v>
      </c>
      <c r="F21" s="186"/>
      <c r="G21" s="187"/>
      <c r="H21" s="188">
        <f>SUM(G19:G20)</f>
        <v>1356</v>
      </c>
    </row>
    <row r="22" spans="1:9" ht="16.5" thickBot="1">
      <c r="A22" s="243"/>
      <c r="B22" s="156" t="s">
        <v>132</v>
      </c>
      <c r="C22" s="157"/>
      <c r="D22" s="158"/>
      <c r="E22" s="158"/>
      <c r="F22" s="159"/>
      <c r="G22" s="160"/>
    </row>
    <row r="23" spans="1:9" ht="15.75" thickBot="1">
      <c r="A23" s="243"/>
      <c r="B23" s="189" t="s">
        <v>115</v>
      </c>
      <c r="C23" s="205" t="s">
        <v>59</v>
      </c>
      <c r="D23" s="205" t="s">
        <v>16</v>
      </c>
      <c r="E23" s="206" t="s">
        <v>124</v>
      </c>
      <c r="F23" s="207" t="s">
        <v>118</v>
      </c>
      <c r="G23" s="208" t="s">
        <v>119</v>
      </c>
      <c r="H23" s="158"/>
    </row>
    <row r="24" spans="1:9" s="228" customFormat="1" ht="11.25">
      <c r="A24" s="452"/>
      <c r="B24" s="226" t="s">
        <v>133</v>
      </c>
      <c r="C24" s="229" t="s">
        <v>134</v>
      </c>
      <c r="D24" s="229">
        <f>1/17.4</f>
        <v>5.7471264367816098E-2</v>
      </c>
      <c r="E24" s="230">
        <v>116579.99999999999</v>
      </c>
      <c r="F24" s="231"/>
      <c r="G24" s="232">
        <f>+D24*E24</f>
        <v>6700</v>
      </c>
      <c r="H24" s="233" t="s">
        <v>135</v>
      </c>
    </row>
    <row r="25" spans="1:9" s="228" customFormat="1" ht="12" thickBot="1">
      <c r="A25" s="452"/>
      <c r="B25" s="227" t="s">
        <v>136</v>
      </c>
      <c r="C25" s="234" t="s">
        <v>134</v>
      </c>
      <c r="D25" s="234">
        <f>1/17.4</f>
        <v>5.7471264367816098E-2</v>
      </c>
      <c r="E25" s="235">
        <v>155439.99999999997</v>
      </c>
      <c r="F25" s="236"/>
      <c r="G25" s="237">
        <f>D25*E25</f>
        <v>8933.3333333333321</v>
      </c>
      <c r="H25" s="233"/>
    </row>
    <row r="26" spans="1:9" ht="15.75" thickBot="1">
      <c r="A26" s="243"/>
      <c r="B26" s="182"/>
      <c r="C26" s="183"/>
      <c r="D26" s="184"/>
      <c r="E26" s="185" t="s">
        <v>131</v>
      </c>
      <c r="F26" s="186"/>
      <c r="G26" s="187"/>
      <c r="H26" s="188">
        <f>SUM(G24:G25)</f>
        <v>15633.333333333332</v>
      </c>
    </row>
    <row r="27" spans="1:9" ht="15.75" thickBot="1">
      <c r="A27" s="243"/>
      <c r="B27" s="182"/>
      <c r="C27" s="183"/>
      <c r="D27" s="184"/>
      <c r="E27" s="185"/>
      <c r="F27" s="186"/>
      <c r="G27" s="187"/>
    </row>
    <row r="28" spans="1:9" ht="18.75" thickBot="1">
      <c r="A28" s="243"/>
      <c r="B28" s="238"/>
      <c r="C28" s="157"/>
      <c r="D28" s="158"/>
      <c r="E28" s="239" t="s">
        <v>137</v>
      </c>
      <c r="F28" s="240"/>
      <c r="G28" s="160"/>
      <c r="H28" s="241">
        <f>SUM(H10,H16,H21,H26)</f>
        <v>18240</v>
      </c>
    </row>
    <row r="29" spans="1:9" ht="18">
      <c r="A29" s="243"/>
      <c r="B29" s="238"/>
      <c r="C29" s="157"/>
      <c r="D29" s="158"/>
      <c r="E29" s="239"/>
      <c r="F29" s="240"/>
      <c r="G29" s="160"/>
      <c r="H29" s="242"/>
    </row>
    <row r="30" spans="1:9" ht="18.75" thickBot="1">
      <c r="A30" s="255"/>
      <c r="B30" s="256"/>
      <c r="C30" s="253"/>
      <c r="D30" s="252"/>
      <c r="E30" s="257"/>
      <c r="F30" s="257"/>
      <c r="G30" s="252"/>
      <c r="H30" s="453"/>
      <c r="I30" s="250"/>
    </row>
    <row r="31" spans="1:9" ht="21" thickBot="1">
      <c r="A31" s="885" t="s">
        <v>109</v>
      </c>
      <c r="B31" s="886"/>
      <c r="C31" s="886"/>
      <c r="D31" s="886"/>
      <c r="E31" s="886"/>
      <c r="F31" s="886"/>
      <c r="G31" s="886"/>
      <c r="H31" s="887"/>
      <c r="I31" s="250"/>
    </row>
    <row r="32" spans="1:9" ht="21" thickBot="1">
      <c r="A32" s="449"/>
      <c r="B32" s="260"/>
      <c r="C32" s="550"/>
      <c r="D32" s="550"/>
      <c r="E32" s="550"/>
      <c r="F32" s="550"/>
      <c r="G32" s="550"/>
      <c r="H32" s="450"/>
      <c r="I32" s="250"/>
    </row>
    <row r="33" spans="1:9">
      <c r="A33" s="243"/>
      <c r="B33" s="153" t="s">
        <v>110</v>
      </c>
      <c r="C33" s="911" t="str">
        <f>C3</f>
        <v>ALCALDIA DE CÚCUTA</v>
      </c>
      <c r="D33" s="912"/>
      <c r="E33" s="912"/>
      <c r="F33" s="912"/>
      <c r="G33" s="912"/>
      <c r="H33" s="913"/>
      <c r="I33" s="250"/>
    </row>
    <row r="34" spans="1:9">
      <c r="A34" s="243"/>
      <c r="B34" s="154" t="s">
        <v>112</v>
      </c>
      <c r="C34" s="902" t="str">
        <f>PRESUPUESTO!A1</f>
        <v>" MEJORAMIENTO, ADECUACIÓN MENOR Y MANTENIMIENTO DE LA INFRAESTRUCTURA DE LAS INSTITUCIONES EDUCATIVAS URBANAS Y RURALES DEL MUNICIPIO DE SAN JOSÉ DE CÚCUTA"</v>
      </c>
      <c r="D34" s="903"/>
      <c r="E34" s="903"/>
      <c r="F34" s="903"/>
      <c r="G34" s="903"/>
      <c r="H34" s="904"/>
      <c r="I34" s="250"/>
    </row>
    <row r="35" spans="1:9">
      <c r="A35" s="243"/>
      <c r="B35" s="155" t="s">
        <v>138</v>
      </c>
      <c r="C35" s="905"/>
      <c r="D35" s="906"/>
      <c r="E35" s="906"/>
      <c r="F35" s="906"/>
      <c r="G35" s="906"/>
      <c r="H35" s="907"/>
      <c r="I35" s="250"/>
    </row>
    <row r="36" spans="1:9" ht="65.25" customHeight="1" thickBot="1">
      <c r="A36" s="243"/>
      <c r="B36" s="151" t="s">
        <v>113</v>
      </c>
      <c r="C36" s="152">
        <f>PRESUPUESTO!A14</f>
        <v>2.1</v>
      </c>
      <c r="D36" s="908" t="str">
        <f>PRESUPUESTO!C14</f>
        <v xml:space="preserve">SUMINISTRO DE MATERIALES Y HECHURA DE PLANTILLA DE NIVELACION Y/O AFINADO DE PISO EN MORTERO 1:3 PARA PEGA DEL NUEVO ACABADO DE PISO, ESPESOR MÍNIMO DE 3 CMS. INCLUYE EL RETIRO DE IRREGULARIDADES QUE PUEDAN QUEDAR DESPUES DE DEMOLER EL ACTUAL ACABADO Y LA PLANTILLA DE PISO. </v>
      </c>
      <c r="E36" s="909"/>
      <c r="F36" s="909"/>
      <c r="G36" s="909"/>
      <c r="H36" s="910"/>
      <c r="I36" s="250"/>
    </row>
    <row r="37" spans="1:9" ht="16.5" thickBot="1">
      <c r="A37" s="243"/>
      <c r="B37" s="156" t="s">
        <v>114</v>
      </c>
      <c r="C37" s="244"/>
      <c r="D37" s="217"/>
      <c r="E37" s="217"/>
      <c r="F37" s="159"/>
      <c r="G37" s="218" t="s">
        <v>59</v>
      </c>
      <c r="H37" s="258" t="str">
        <f>PRESUPUESTO!D14</f>
        <v>M2</v>
      </c>
      <c r="I37" s="250"/>
    </row>
    <row r="38" spans="1:9" ht="15.75" thickBot="1">
      <c r="A38" s="243"/>
      <c r="B38" s="212" t="s">
        <v>115</v>
      </c>
      <c r="C38" s="214" t="s">
        <v>97</v>
      </c>
      <c r="D38" s="214" t="s">
        <v>117</v>
      </c>
      <c r="E38" s="214" t="s">
        <v>116</v>
      </c>
      <c r="F38" s="207" t="s">
        <v>118</v>
      </c>
      <c r="G38" s="220" t="s">
        <v>119</v>
      </c>
      <c r="H38" s="221"/>
      <c r="I38" s="250"/>
    </row>
    <row r="39" spans="1:9">
      <c r="A39" s="243"/>
      <c r="B39" s="440" t="s">
        <v>120</v>
      </c>
      <c r="C39" s="441" t="s">
        <v>121</v>
      </c>
      <c r="D39" s="442">
        <v>0.08</v>
      </c>
      <c r="E39" s="441">
        <f>H56</f>
        <v>2729</v>
      </c>
      <c r="F39" s="273"/>
      <c r="G39" s="443">
        <f>+E39*D39</f>
        <v>218.32</v>
      </c>
      <c r="H39" s="158"/>
      <c r="I39" s="250"/>
    </row>
    <row r="40" spans="1:9" ht="15.75" thickBot="1">
      <c r="A40" s="243"/>
      <c r="B40" s="444"/>
      <c r="C40" s="445"/>
      <c r="D40" s="446"/>
      <c r="E40" s="445"/>
      <c r="F40" s="277"/>
      <c r="G40" s="447"/>
      <c r="H40" s="158"/>
      <c r="I40" s="250"/>
    </row>
    <row r="41" spans="1:9" ht="15.75" thickBot="1">
      <c r="A41" s="243"/>
      <c r="B41" s="182"/>
      <c r="C41" s="183"/>
      <c r="D41" s="184"/>
      <c r="E41" s="184" t="s">
        <v>122</v>
      </c>
      <c r="F41" s="224"/>
      <c r="G41" s="187"/>
      <c r="H41" s="188">
        <f>ROUND(SUM(G39:G40),0)</f>
        <v>218</v>
      </c>
      <c r="I41" s="250"/>
    </row>
    <row r="42" spans="1:9" ht="16.5" thickBot="1">
      <c r="A42" s="243"/>
      <c r="B42" s="156" t="s">
        <v>123</v>
      </c>
      <c r="C42" s="157"/>
      <c r="D42" s="158"/>
      <c r="E42" s="158"/>
      <c r="F42" s="159"/>
      <c r="G42" s="160"/>
      <c r="H42" s="158"/>
      <c r="I42" s="250"/>
    </row>
    <row r="43" spans="1:9" ht="15.75" thickBot="1">
      <c r="A43" s="243"/>
      <c r="B43" s="400" t="s">
        <v>115</v>
      </c>
      <c r="C43" s="163" t="s">
        <v>59</v>
      </c>
      <c r="D43" s="163" t="s">
        <v>16</v>
      </c>
      <c r="E43" s="163" t="s">
        <v>124</v>
      </c>
      <c r="F43" s="164" t="s">
        <v>118</v>
      </c>
      <c r="G43" s="165" t="s">
        <v>119</v>
      </c>
      <c r="H43" s="158"/>
      <c r="I43" s="250"/>
    </row>
    <row r="44" spans="1:9">
      <c r="A44" s="243"/>
      <c r="B44" s="254" t="s">
        <v>139</v>
      </c>
      <c r="C44" s="401" t="s">
        <v>140</v>
      </c>
      <c r="D44" s="167">
        <v>1</v>
      </c>
      <c r="E44" s="168">
        <v>22173</v>
      </c>
      <c r="F44" s="169"/>
      <c r="G44" s="170">
        <f>+E44*D44</f>
        <v>22173</v>
      </c>
      <c r="H44" s="158"/>
      <c r="I44" s="250"/>
    </row>
    <row r="45" spans="1:9">
      <c r="A45" s="243"/>
      <c r="B45" s="402" t="s">
        <v>141</v>
      </c>
      <c r="C45" s="403" t="s">
        <v>96</v>
      </c>
      <c r="D45" s="172"/>
      <c r="E45" s="173">
        <v>50806.328000000001</v>
      </c>
      <c r="F45" s="174"/>
      <c r="G45" s="175">
        <f>+E45*D45</f>
        <v>0</v>
      </c>
      <c r="H45" s="158"/>
      <c r="I45" s="250"/>
    </row>
    <row r="46" spans="1:9" ht="15.75" thickBot="1">
      <c r="A46" s="243"/>
      <c r="B46" s="404"/>
      <c r="C46" s="405"/>
      <c r="D46" s="406"/>
      <c r="E46" s="407"/>
      <c r="F46" s="408"/>
      <c r="G46" s="409"/>
      <c r="H46" s="158"/>
      <c r="I46" s="250"/>
    </row>
    <row r="47" spans="1:9" ht="15.75" thickBot="1">
      <c r="A47" s="243"/>
      <c r="B47" s="182"/>
      <c r="C47" s="183"/>
      <c r="D47" s="184"/>
      <c r="E47" s="185"/>
      <c r="F47" s="186"/>
      <c r="G47" s="187"/>
      <c r="H47" s="448">
        <f>ROUND(SUM(G44:G46),0)</f>
        <v>22173</v>
      </c>
      <c r="I47" s="250"/>
    </row>
    <row r="48" spans="1:9" ht="16.5" thickBot="1">
      <c r="A48" s="243"/>
      <c r="B48" s="156" t="s">
        <v>142</v>
      </c>
      <c r="C48" s="157"/>
      <c r="D48" s="158"/>
      <c r="E48" s="158" t="s">
        <v>125</v>
      </c>
      <c r="F48" s="159"/>
      <c r="G48" s="160"/>
      <c r="H48" s="158"/>
      <c r="I48" s="250"/>
    </row>
    <row r="49" spans="1:9" ht="16.5" thickBot="1">
      <c r="A49" s="243"/>
      <c r="B49" s="410" t="s">
        <v>115</v>
      </c>
      <c r="C49" s="411" t="s">
        <v>127</v>
      </c>
      <c r="D49" s="412" t="s">
        <v>128</v>
      </c>
      <c r="E49" s="412" t="s">
        <v>124</v>
      </c>
      <c r="F49" s="413" t="s">
        <v>129</v>
      </c>
      <c r="G49" s="414" t="s">
        <v>119</v>
      </c>
      <c r="H49" s="158"/>
      <c r="I49" s="250"/>
    </row>
    <row r="50" spans="1:9" ht="15.75" thickBot="1">
      <c r="A50" s="243"/>
      <c r="B50" s="415" t="s">
        <v>130</v>
      </c>
      <c r="C50" s="416">
        <v>0.1</v>
      </c>
      <c r="D50" s="417">
        <v>1</v>
      </c>
      <c r="E50" s="418">
        <v>6780</v>
      </c>
      <c r="F50" s="420">
        <v>0.1</v>
      </c>
      <c r="G50" s="419">
        <f>E50*F50</f>
        <v>678</v>
      </c>
      <c r="H50" s="158"/>
      <c r="I50" s="250"/>
    </row>
    <row r="51" spans="1:9" ht="15.75" thickBot="1">
      <c r="A51" s="243"/>
      <c r="B51" s="182"/>
      <c r="C51" s="183"/>
      <c r="D51" s="184"/>
      <c r="E51" s="185"/>
      <c r="F51" s="186"/>
      <c r="G51" s="187"/>
      <c r="H51" s="188">
        <f>ROUND(G50,0)</f>
        <v>678</v>
      </c>
      <c r="I51" s="250"/>
    </row>
    <row r="52" spans="1:9" ht="16.5" thickBot="1">
      <c r="A52" s="243"/>
      <c r="B52" s="156" t="s">
        <v>143</v>
      </c>
      <c r="C52" s="157"/>
      <c r="D52" s="158"/>
      <c r="E52" s="158" t="s">
        <v>131</v>
      </c>
      <c r="F52" s="159"/>
      <c r="G52" s="160"/>
      <c r="H52" s="158"/>
      <c r="I52" s="250"/>
    </row>
    <row r="53" spans="1:9" ht="15.75" thickBot="1">
      <c r="A53" s="243"/>
      <c r="B53" s="189" t="s">
        <v>115</v>
      </c>
      <c r="C53" s="422" t="s">
        <v>59</v>
      </c>
      <c r="D53" s="423" t="s">
        <v>16</v>
      </c>
      <c r="E53" s="424" t="s">
        <v>124</v>
      </c>
      <c r="F53" s="425" t="s">
        <v>118</v>
      </c>
      <c r="G53" s="426" t="s">
        <v>119</v>
      </c>
      <c r="H53" s="158"/>
      <c r="I53" s="250"/>
    </row>
    <row r="54" spans="1:9" s="421" customFormat="1" ht="11.25">
      <c r="A54" s="451"/>
      <c r="B54" s="427" t="s">
        <v>144</v>
      </c>
      <c r="C54" s="428" t="s">
        <v>134</v>
      </c>
      <c r="D54" s="428"/>
      <c r="E54" s="429">
        <v>116579.99999999999</v>
      </c>
      <c r="F54" s="430">
        <f>1/71.2</f>
        <v>1.4044943820224719E-2</v>
      </c>
      <c r="G54" s="431">
        <f>E54*F54</f>
        <v>1637.3595505617975</v>
      </c>
      <c r="H54" s="432"/>
      <c r="I54" s="433"/>
    </row>
    <row r="55" spans="1:9" s="421" customFormat="1" ht="12" thickBot="1">
      <c r="A55" s="451"/>
      <c r="B55" s="434" t="s">
        <v>136</v>
      </c>
      <c r="C55" s="435" t="s">
        <v>134</v>
      </c>
      <c r="D55" s="435"/>
      <c r="E55" s="436">
        <v>77719.999999999985</v>
      </c>
      <c r="F55" s="437">
        <f>1/71.2</f>
        <v>1.4044943820224719E-2</v>
      </c>
      <c r="G55" s="438">
        <f>E55*F55</f>
        <v>1091.5730337078649</v>
      </c>
      <c r="H55" s="432"/>
      <c r="I55" s="433"/>
    </row>
    <row r="56" spans="1:9" ht="15.75" thickBot="1">
      <c r="A56" s="243"/>
      <c r="B56" s="182"/>
      <c r="C56" s="183"/>
      <c r="D56" s="184"/>
      <c r="E56" s="185"/>
      <c r="F56" s="186"/>
      <c r="G56" s="187"/>
      <c r="H56" s="188">
        <f>ROUND(SUM(G54:G55),0)</f>
        <v>2729</v>
      </c>
      <c r="I56" s="250"/>
    </row>
    <row r="57" spans="1:9" ht="16.5" thickBot="1">
      <c r="A57" s="243"/>
      <c r="B57" s="182"/>
      <c r="C57" s="183"/>
      <c r="D57" s="184"/>
      <c r="E57" s="185" t="s">
        <v>131</v>
      </c>
      <c r="F57" s="186"/>
      <c r="G57" s="187"/>
      <c r="H57" s="439"/>
      <c r="I57" s="250"/>
    </row>
    <row r="58" spans="1:9" ht="18.75" thickBot="1">
      <c r="A58" s="243"/>
      <c r="B58" s="238"/>
      <c r="C58" s="157"/>
      <c r="D58" s="158"/>
      <c r="E58" s="239"/>
      <c r="F58" s="240"/>
      <c r="G58" s="160"/>
      <c r="H58" s="241">
        <f>+H41+H47+H56+H51</f>
        <v>25798</v>
      </c>
      <c r="I58" s="250"/>
    </row>
    <row r="59" spans="1:9" ht="18">
      <c r="A59" s="243"/>
      <c r="B59" s="238"/>
      <c r="C59" s="157"/>
      <c r="D59" s="158"/>
      <c r="E59" s="239"/>
      <c r="F59" s="240"/>
      <c r="G59" s="160"/>
      <c r="H59" s="242"/>
      <c r="I59" s="250"/>
    </row>
    <row r="60" spans="1:9" ht="18.75" thickBot="1">
      <c r="A60" s="217"/>
      <c r="B60" s="238"/>
      <c r="C60" s="157"/>
      <c r="D60" s="158"/>
      <c r="E60" s="239"/>
      <c r="F60" s="240"/>
      <c r="G60" s="160"/>
      <c r="H60" s="242"/>
    </row>
    <row r="61" spans="1:9" ht="21" thickBot="1">
      <c r="A61" s="891" t="s">
        <v>109</v>
      </c>
      <c r="B61" s="892"/>
      <c r="C61" s="892"/>
      <c r="D61" s="892"/>
      <c r="E61" s="892"/>
      <c r="F61" s="892"/>
      <c r="G61" s="892"/>
      <c r="H61" s="892"/>
    </row>
    <row r="62" spans="1:9" ht="15.75">
      <c r="A62" s="243"/>
      <c r="B62" s="153" t="s">
        <v>110</v>
      </c>
      <c r="C62" s="920" t="str">
        <f>C3</f>
        <v>ALCALDIA DE CÚCUTA</v>
      </c>
      <c r="D62" s="918"/>
      <c r="E62" s="918"/>
      <c r="F62" s="918"/>
      <c r="G62" s="918"/>
      <c r="H62" s="919"/>
    </row>
    <row r="63" spans="1:9">
      <c r="A63" s="243"/>
      <c r="B63" s="154" t="s">
        <v>112</v>
      </c>
      <c r="C63" s="902" t="str">
        <f>PRESUPUESTO!A1</f>
        <v>" MEJORAMIENTO, ADECUACIÓN MENOR Y MANTENIMIENTO DE LA INFRAESTRUCTURA DE LAS INSTITUCIONES EDUCATIVAS URBANAS Y RURALES DEL MUNICIPIO DE SAN JOSÉ DE CÚCUTA"</v>
      </c>
      <c r="D63" s="903"/>
      <c r="E63" s="903"/>
      <c r="F63" s="903"/>
      <c r="G63" s="903"/>
      <c r="H63" s="904"/>
    </row>
    <row r="64" spans="1:9">
      <c r="A64" s="243"/>
      <c r="B64" s="155" t="s">
        <v>138</v>
      </c>
      <c r="C64" s="905"/>
      <c r="D64" s="906"/>
      <c r="E64" s="906"/>
      <c r="F64" s="906"/>
      <c r="G64" s="906"/>
      <c r="H64" s="907"/>
    </row>
    <row r="65" spans="1:8" ht="57.75" customHeight="1" thickBot="1">
      <c r="A65" s="243"/>
      <c r="B65" s="151" t="s">
        <v>113</v>
      </c>
      <c r="C65" s="152">
        <f>PRESUPUESTO!A15</f>
        <v>2.2000000000000002</v>
      </c>
      <c r="D65" s="908" t="str">
        <f>PRESUPUESTO!C15</f>
        <v xml:space="preserve">SUMINISTRO E INSTALACION de pisos en tablon de gress de 30 x 30 o 33 x 33 incluye mortero de pega. </v>
      </c>
      <c r="E65" s="909"/>
      <c r="F65" s="909"/>
      <c r="G65" s="909"/>
      <c r="H65" s="910"/>
    </row>
    <row r="66" spans="1:8" ht="16.5" thickBot="1">
      <c r="A66" s="243"/>
      <c r="B66" s="156" t="s">
        <v>114</v>
      </c>
      <c r="C66" s="244"/>
      <c r="D66" s="217"/>
      <c r="E66" s="217"/>
      <c r="F66" s="159"/>
      <c r="G66" s="218" t="s">
        <v>59</v>
      </c>
      <c r="H66" s="219" t="s">
        <v>22</v>
      </c>
    </row>
    <row r="67" spans="1:8" ht="15.75" thickBot="1">
      <c r="A67" s="243"/>
      <c r="B67" s="212" t="s">
        <v>115</v>
      </c>
      <c r="C67" s="214" t="s">
        <v>97</v>
      </c>
      <c r="D67" s="214" t="s">
        <v>117</v>
      </c>
      <c r="E67" s="214" t="s">
        <v>116</v>
      </c>
      <c r="F67" s="207" t="s">
        <v>118</v>
      </c>
      <c r="G67" s="220" t="s">
        <v>119</v>
      </c>
      <c r="H67" s="221"/>
    </row>
    <row r="68" spans="1:8">
      <c r="A68" s="243"/>
      <c r="B68" s="516" t="s">
        <v>120</v>
      </c>
      <c r="C68" s="196" t="s">
        <v>121</v>
      </c>
      <c r="D68" s="536">
        <v>0.08</v>
      </c>
      <c r="E68" s="196">
        <f>H87</f>
        <v>21589</v>
      </c>
      <c r="F68" s="518"/>
      <c r="G68" s="519">
        <f>E68*D68</f>
        <v>1727.1200000000001</v>
      </c>
      <c r="H68" s="158"/>
    </row>
    <row r="69" spans="1:8" ht="15.75" thickBot="1">
      <c r="A69" s="243"/>
      <c r="B69" s="213"/>
      <c r="C69" s="215"/>
      <c r="D69" s="216"/>
      <c r="E69" s="520"/>
      <c r="F69" s="521"/>
      <c r="G69" s="522"/>
      <c r="H69" s="158"/>
    </row>
    <row r="70" spans="1:8" ht="15.75" thickBot="1">
      <c r="A70" s="243"/>
      <c r="B70" s="182"/>
      <c r="C70" s="183"/>
      <c r="D70" s="184"/>
      <c r="E70" s="184" t="s">
        <v>122</v>
      </c>
      <c r="F70" s="224"/>
      <c r="G70" s="187"/>
      <c r="H70" s="188">
        <f>ROUND(SUM(G68:G69),0)</f>
        <v>1727</v>
      </c>
    </row>
    <row r="71" spans="1:8" ht="16.5" thickBot="1">
      <c r="A71" s="243"/>
      <c r="B71" s="156" t="s">
        <v>123</v>
      </c>
      <c r="C71" s="157"/>
      <c r="D71" s="158"/>
      <c r="E71" s="158"/>
      <c r="F71" s="159"/>
      <c r="G71" s="160"/>
    </row>
    <row r="72" spans="1:8" ht="15.75" thickBot="1">
      <c r="A72" s="243"/>
      <c r="B72" s="162" t="s">
        <v>115</v>
      </c>
      <c r="C72" s="163" t="s">
        <v>59</v>
      </c>
      <c r="D72" s="163" t="s">
        <v>16</v>
      </c>
      <c r="E72" s="163" t="s">
        <v>124</v>
      </c>
      <c r="F72" s="164" t="s">
        <v>118</v>
      </c>
      <c r="G72" s="165" t="s">
        <v>119</v>
      </c>
      <c r="H72" s="158"/>
    </row>
    <row r="73" spans="1:8">
      <c r="A73" s="243"/>
      <c r="B73" s="166" t="s">
        <v>145</v>
      </c>
      <c r="C73" s="167" t="s">
        <v>22</v>
      </c>
      <c r="D73" s="167">
        <v>1.1000000000000001</v>
      </c>
      <c r="E73" s="168">
        <v>35675.402399999999</v>
      </c>
      <c r="F73" s="169"/>
      <c r="G73" s="170">
        <f>E73*D73</f>
        <v>39242.942640000001</v>
      </c>
      <c r="H73" s="158"/>
    </row>
    <row r="74" spans="1:8">
      <c r="A74" s="243"/>
      <c r="B74" s="523" t="s">
        <v>146</v>
      </c>
      <c r="C74" s="172" t="s">
        <v>140</v>
      </c>
      <c r="D74" s="172">
        <v>0.34</v>
      </c>
      <c r="E74" s="173">
        <v>14080.94</v>
      </c>
      <c r="F74" s="174"/>
      <c r="G74" s="175">
        <f>E74*D74</f>
        <v>4787.5196000000005</v>
      </c>
      <c r="H74" s="158"/>
    </row>
    <row r="75" spans="1:8">
      <c r="A75" s="243"/>
      <c r="B75" s="524" t="s">
        <v>147</v>
      </c>
      <c r="C75" s="525" t="s">
        <v>148</v>
      </c>
      <c r="D75" s="525">
        <v>0.1</v>
      </c>
      <c r="E75" s="526">
        <v>20047.439999999999</v>
      </c>
      <c r="F75" s="527"/>
      <c r="G75" s="175">
        <f t="shared" ref="G75" si="0">E75*D75</f>
        <v>2004.7439999999999</v>
      </c>
      <c r="H75" s="158"/>
    </row>
    <row r="76" spans="1:8" ht="15.75" thickBot="1">
      <c r="A76" s="243"/>
      <c r="B76" s="176"/>
      <c r="C76" s="177"/>
      <c r="D76" s="178"/>
      <c r="E76" s="179"/>
      <c r="F76" s="180"/>
      <c r="G76" s="181"/>
      <c r="H76" s="158"/>
    </row>
    <row r="77" spans="1:8" ht="15.75" thickBot="1">
      <c r="A77" s="243"/>
      <c r="B77" s="182"/>
      <c r="C77" s="183"/>
      <c r="D77" s="184"/>
      <c r="E77" s="185" t="s">
        <v>125</v>
      </c>
      <c r="F77" s="186"/>
      <c r="G77" s="187"/>
      <c r="H77" s="188">
        <f>ROUND(SUM(G73:G76),0)</f>
        <v>46035</v>
      </c>
    </row>
    <row r="78" spans="1:8" ht="16.5" thickBot="1">
      <c r="A78" s="243"/>
      <c r="B78" s="156" t="s">
        <v>126</v>
      </c>
      <c r="C78" s="157"/>
      <c r="D78" s="158"/>
      <c r="E78" s="158"/>
      <c r="F78" s="159"/>
      <c r="G78" s="160"/>
    </row>
    <row r="79" spans="1:8" ht="15.75" thickBot="1">
      <c r="A79" s="243"/>
      <c r="B79" s="189" t="s">
        <v>115</v>
      </c>
      <c r="C79" s="190" t="s">
        <v>127</v>
      </c>
      <c r="D79" s="191" t="s">
        <v>128</v>
      </c>
      <c r="E79" s="192" t="s">
        <v>124</v>
      </c>
      <c r="F79" s="193" t="s">
        <v>129</v>
      </c>
      <c r="G79" s="194" t="s">
        <v>119</v>
      </c>
      <c r="H79" s="158"/>
    </row>
    <row r="80" spans="1:8">
      <c r="A80" s="243"/>
      <c r="B80" s="195" t="s">
        <v>130</v>
      </c>
      <c r="C80" s="196">
        <v>0.1</v>
      </c>
      <c r="D80" s="196">
        <v>1</v>
      </c>
      <c r="E80" s="197">
        <v>6780</v>
      </c>
      <c r="F80" s="225">
        <v>0.1</v>
      </c>
      <c r="G80" s="198">
        <f>E80*F80</f>
        <v>678</v>
      </c>
      <c r="H80" s="158"/>
    </row>
    <row r="81" spans="1:8" ht="15.75" thickBot="1">
      <c r="A81" s="243"/>
      <c r="B81" s="199"/>
      <c r="C81" s="200"/>
      <c r="D81" s="201"/>
      <c r="E81" s="202"/>
      <c r="F81" s="203"/>
      <c r="G81" s="204"/>
      <c r="H81" s="158"/>
    </row>
    <row r="82" spans="1:8" ht="15.75" thickBot="1">
      <c r="A82" s="243"/>
      <c r="B82" s="182"/>
      <c r="C82" s="183"/>
      <c r="D82" s="184"/>
      <c r="E82" s="185" t="s">
        <v>131</v>
      </c>
      <c r="F82" s="186"/>
      <c r="G82" s="187"/>
      <c r="H82" s="188">
        <f>ROUND(SUM(G80:G81),0)</f>
        <v>678</v>
      </c>
    </row>
    <row r="83" spans="1:8" ht="16.5" thickBot="1">
      <c r="A83" s="243"/>
      <c r="B83" s="156" t="s">
        <v>132</v>
      </c>
      <c r="C83" s="157"/>
      <c r="D83" s="158"/>
      <c r="E83" s="158"/>
      <c r="F83" s="159"/>
      <c r="G83" s="160"/>
    </row>
    <row r="84" spans="1:8" ht="15.75" thickBot="1">
      <c r="A84" s="243"/>
      <c r="B84" s="189" t="s">
        <v>115</v>
      </c>
      <c r="C84" s="205" t="s">
        <v>59</v>
      </c>
      <c r="D84" s="205" t="s">
        <v>16</v>
      </c>
      <c r="E84" s="206" t="s">
        <v>124</v>
      </c>
      <c r="F84" s="207" t="s">
        <v>118</v>
      </c>
      <c r="G84" s="208" t="s">
        <v>119</v>
      </c>
      <c r="H84" s="158"/>
    </row>
    <row r="85" spans="1:8" s="532" customFormat="1" ht="11.25">
      <c r="A85" s="528"/>
      <c r="B85" s="195" t="s">
        <v>144</v>
      </c>
      <c r="C85" s="196" t="s">
        <v>134</v>
      </c>
      <c r="D85" s="529">
        <f>1/9</f>
        <v>0.1111111111111111</v>
      </c>
      <c r="E85" s="530">
        <v>116579.99999999999</v>
      </c>
      <c r="F85" s="518"/>
      <c r="G85" s="198">
        <f>+D85*E85</f>
        <v>12953.33333333333</v>
      </c>
      <c r="H85" s="531" t="s">
        <v>135</v>
      </c>
    </row>
    <row r="86" spans="1:8" s="532" customFormat="1" ht="12" thickBot="1">
      <c r="A86" s="528"/>
      <c r="B86" s="151" t="s">
        <v>136</v>
      </c>
      <c r="C86" s="177"/>
      <c r="D86" s="533">
        <f>1/9</f>
        <v>0.1111111111111111</v>
      </c>
      <c r="E86" s="534">
        <v>77719.999999999985</v>
      </c>
      <c r="F86" s="277"/>
      <c r="G86" s="535">
        <f>D86*E86</f>
        <v>8635.5555555555529</v>
      </c>
      <c r="H86" s="531"/>
    </row>
    <row r="87" spans="1:8" ht="15.75" thickBot="1">
      <c r="A87" s="243"/>
      <c r="B87" s="182"/>
      <c r="C87" s="183"/>
      <c r="D87" s="184"/>
      <c r="E87" s="185" t="s">
        <v>131</v>
      </c>
      <c r="F87" s="186"/>
      <c r="G87" s="187"/>
      <c r="H87" s="188">
        <f>ROUND(SUM(G85:G86),0)</f>
        <v>21589</v>
      </c>
    </row>
    <row r="88" spans="1:8" ht="25.5" customHeight="1" thickBot="1">
      <c r="A88" s="243"/>
      <c r="B88" s="182"/>
      <c r="C88" s="183"/>
      <c r="D88" s="184"/>
      <c r="E88" s="185"/>
      <c r="F88" s="186"/>
      <c r="G88" s="187"/>
    </row>
    <row r="89" spans="1:8" ht="18.75" thickBot="1">
      <c r="A89" s="243"/>
      <c r="B89" s="238"/>
      <c r="C89" s="157"/>
      <c r="D89" s="158"/>
      <c r="E89" s="239" t="s">
        <v>137</v>
      </c>
      <c r="F89" s="240"/>
      <c r="G89" s="160"/>
      <c r="H89" s="241">
        <f>SUM(H70,H77,H82,H87)</f>
        <v>70029</v>
      </c>
    </row>
    <row r="90" spans="1:8" ht="18.75" thickBot="1">
      <c r="A90" s="217"/>
      <c r="B90" s="238"/>
      <c r="C90" s="157"/>
      <c r="D90" s="158"/>
      <c r="E90" s="239"/>
      <c r="F90" s="240"/>
      <c r="G90" s="160"/>
      <c r="H90" s="242"/>
    </row>
    <row r="91" spans="1:8" ht="21" thickBot="1">
      <c r="A91" s="891" t="s">
        <v>109</v>
      </c>
      <c r="B91" s="892"/>
      <c r="C91" s="892"/>
      <c r="D91" s="892"/>
      <c r="E91" s="892"/>
      <c r="F91" s="892"/>
      <c r="G91" s="892"/>
      <c r="H91" s="892"/>
    </row>
    <row r="92" spans="1:8" ht="15.75">
      <c r="A92" s="243"/>
      <c r="B92" s="153" t="s">
        <v>110</v>
      </c>
      <c r="C92" s="920" t="str">
        <f>C33</f>
        <v>ALCALDIA DE CÚCUTA</v>
      </c>
      <c r="D92" s="918"/>
      <c r="E92" s="918"/>
      <c r="F92" s="918"/>
      <c r="G92" s="918"/>
      <c r="H92" s="919"/>
    </row>
    <row r="93" spans="1:8">
      <c r="A93" s="243"/>
      <c r="B93" s="154" t="s">
        <v>112</v>
      </c>
      <c r="C93" s="902" t="str">
        <f>PRESUPUESTO!A1</f>
        <v>" MEJORAMIENTO, ADECUACIÓN MENOR Y MANTENIMIENTO DE LA INFRAESTRUCTURA DE LAS INSTITUCIONES EDUCATIVAS URBANAS Y RURALES DEL MUNICIPIO DE SAN JOSÉ DE CÚCUTA"</v>
      </c>
      <c r="D93" s="903"/>
      <c r="E93" s="903"/>
      <c r="F93" s="903"/>
      <c r="G93" s="903"/>
      <c r="H93" s="904"/>
    </row>
    <row r="94" spans="1:8">
      <c r="A94" s="243"/>
      <c r="B94" s="155" t="s">
        <v>138</v>
      </c>
      <c r="C94" s="905"/>
      <c r="D94" s="906"/>
      <c r="E94" s="906"/>
      <c r="F94" s="906"/>
      <c r="G94" s="906"/>
      <c r="H94" s="907"/>
    </row>
    <row r="95" spans="1:8" ht="57.75" customHeight="1" thickBot="1">
      <c r="A95" s="243"/>
      <c r="B95" s="151" t="s">
        <v>113</v>
      </c>
      <c r="C95" s="152">
        <f>PRESUPUESTO!A18</f>
        <v>3.1</v>
      </c>
      <c r="D95" s="908" t="str">
        <f>PRESUPUESTO!C18</f>
        <v xml:space="preserve">MANTENIMIENTO DE TERRAZAS con suministro y aplicación de  manto impermeabilizante tipo N 4 o similar, (incluye correccion de pendiente, construccion de mediacañas y desmonte de manto o impermeabilizacion existente en caso de requerirse) </v>
      </c>
      <c r="E95" s="909"/>
      <c r="F95" s="909"/>
      <c r="G95" s="909"/>
      <c r="H95" s="910"/>
    </row>
    <row r="96" spans="1:8" ht="16.5" thickBot="1">
      <c r="A96" s="243"/>
      <c r="B96" s="156" t="s">
        <v>114</v>
      </c>
      <c r="C96" s="244"/>
      <c r="D96" s="217"/>
      <c r="E96" s="217"/>
      <c r="F96" s="159"/>
      <c r="G96" s="218" t="s">
        <v>59</v>
      </c>
      <c r="H96" s="219" t="s">
        <v>22</v>
      </c>
    </row>
    <row r="97" spans="1:8" ht="15.75" thickBot="1">
      <c r="A97" s="243"/>
      <c r="B97" s="212" t="s">
        <v>115</v>
      </c>
      <c r="C97" s="214" t="s">
        <v>97</v>
      </c>
      <c r="D97" s="214" t="s">
        <v>117</v>
      </c>
      <c r="E97" s="214" t="s">
        <v>116</v>
      </c>
      <c r="F97" s="207" t="s">
        <v>118</v>
      </c>
      <c r="G97" s="220" t="s">
        <v>119</v>
      </c>
      <c r="H97" s="221"/>
    </row>
    <row r="98" spans="1:8">
      <c r="A98" s="243"/>
      <c r="B98" s="516" t="s">
        <v>120</v>
      </c>
      <c r="C98" s="196" t="s">
        <v>121</v>
      </c>
      <c r="D98" s="517">
        <v>0.12</v>
      </c>
      <c r="E98" s="196">
        <f>H117</f>
        <v>9067</v>
      </c>
      <c r="F98" s="518"/>
      <c r="G98" s="519">
        <f>E98*D98</f>
        <v>1088.04</v>
      </c>
      <c r="H98" s="158"/>
    </row>
    <row r="99" spans="1:8" ht="15.75" thickBot="1">
      <c r="A99" s="243"/>
      <c r="B99" s="176" t="s">
        <v>149</v>
      </c>
      <c r="C99" s="520"/>
      <c r="D99" s="537">
        <v>0.1</v>
      </c>
      <c r="E99" s="520">
        <v>27800</v>
      </c>
      <c r="F99" s="521"/>
      <c r="G99" s="522">
        <f>D99*E99</f>
        <v>2780</v>
      </c>
      <c r="H99" s="158"/>
    </row>
    <row r="100" spans="1:8" ht="15.75" thickBot="1">
      <c r="A100" s="243"/>
      <c r="B100" s="182"/>
      <c r="C100" s="183"/>
      <c r="D100" s="184"/>
      <c r="E100" s="184" t="s">
        <v>122</v>
      </c>
      <c r="F100" s="224"/>
      <c r="G100" s="187"/>
      <c r="H100" s="188">
        <f>ROUND(SUM(G98:G99),0)</f>
        <v>3868</v>
      </c>
    </row>
    <row r="101" spans="1:8" ht="16.5" thickBot="1">
      <c r="A101" s="243"/>
      <c r="B101" s="156" t="s">
        <v>123</v>
      </c>
      <c r="C101" s="157"/>
      <c r="D101" s="158"/>
      <c r="E101" s="158"/>
      <c r="F101" s="159"/>
      <c r="G101" s="160"/>
    </row>
    <row r="102" spans="1:8" ht="15.75" thickBot="1">
      <c r="A102" s="243"/>
      <c r="B102" s="162" t="s">
        <v>115</v>
      </c>
      <c r="C102" s="163" t="s">
        <v>59</v>
      </c>
      <c r="D102" s="163" t="s">
        <v>16</v>
      </c>
      <c r="E102" s="163" t="s">
        <v>124</v>
      </c>
      <c r="F102" s="164" t="s">
        <v>118</v>
      </c>
      <c r="G102" s="165" t="s">
        <v>119</v>
      </c>
      <c r="H102" s="158"/>
    </row>
    <row r="103" spans="1:8">
      <c r="A103" s="243"/>
      <c r="B103" s="166" t="s">
        <v>150</v>
      </c>
      <c r="C103" s="167" t="s">
        <v>30</v>
      </c>
      <c r="D103" s="167">
        <v>1</v>
      </c>
      <c r="E103" s="168">
        <v>55663.496800000001</v>
      </c>
      <c r="F103" s="169"/>
      <c r="G103" s="170">
        <f>E103*D103</f>
        <v>55663.496800000001</v>
      </c>
      <c r="H103" s="158"/>
    </row>
    <row r="104" spans="1:8">
      <c r="A104" s="243"/>
      <c r="B104" s="523" t="s">
        <v>151</v>
      </c>
      <c r="C104" s="172" t="s">
        <v>152</v>
      </c>
      <c r="D104" s="172">
        <v>1</v>
      </c>
      <c r="E104" s="173">
        <v>10664.1</v>
      </c>
      <c r="F104" s="174"/>
      <c r="G104" s="175">
        <f>E104*D104</f>
        <v>10664.1</v>
      </c>
      <c r="H104" s="158"/>
    </row>
    <row r="105" spans="1:8">
      <c r="A105" s="243"/>
      <c r="B105" s="524"/>
      <c r="C105" s="525"/>
      <c r="D105" s="525"/>
      <c r="E105" s="526"/>
      <c r="F105" s="527"/>
      <c r="G105" s="175"/>
      <c r="H105" s="158"/>
    </row>
    <row r="106" spans="1:8" ht="15.75" thickBot="1">
      <c r="A106" s="243"/>
      <c r="B106" s="176"/>
      <c r="C106" s="177"/>
      <c r="D106" s="178"/>
      <c r="E106" s="179"/>
      <c r="F106" s="180"/>
      <c r="G106" s="181"/>
      <c r="H106" s="158"/>
    </row>
    <row r="107" spans="1:8" ht="15.75" thickBot="1">
      <c r="A107" s="243"/>
      <c r="B107" s="182"/>
      <c r="C107" s="183"/>
      <c r="D107" s="184"/>
      <c r="E107" s="185" t="s">
        <v>125</v>
      </c>
      <c r="F107" s="186"/>
      <c r="G107" s="187"/>
      <c r="H107" s="188">
        <f>ROUND(SUM(G103:G106),0)</f>
        <v>66328</v>
      </c>
    </row>
    <row r="108" spans="1:8" ht="16.5" thickBot="1">
      <c r="A108" s="243"/>
      <c r="B108" s="156" t="s">
        <v>126</v>
      </c>
      <c r="C108" s="157"/>
      <c r="D108" s="158"/>
      <c r="E108" s="158"/>
      <c r="F108" s="159"/>
      <c r="G108" s="160"/>
    </row>
    <row r="109" spans="1:8" ht="15.75" thickBot="1">
      <c r="A109" s="243"/>
      <c r="B109" s="189" t="s">
        <v>115</v>
      </c>
      <c r="C109" s="190" t="s">
        <v>127</v>
      </c>
      <c r="D109" s="191" t="s">
        <v>128</v>
      </c>
      <c r="E109" s="192" t="s">
        <v>124</v>
      </c>
      <c r="F109" s="193" t="s">
        <v>129</v>
      </c>
      <c r="G109" s="194" t="s">
        <v>119</v>
      </c>
      <c r="H109" s="158"/>
    </row>
    <row r="110" spans="1:8">
      <c r="A110" s="243"/>
      <c r="B110" s="195"/>
      <c r="C110" s="196"/>
      <c r="D110" s="196"/>
      <c r="E110" s="197"/>
      <c r="F110" s="225"/>
      <c r="G110" s="198"/>
      <c r="H110" s="158"/>
    </row>
    <row r="111" spans="1:8" ht="15.75" thickBot="1">
      <c r="A111" s="243"/>
      <c r="B111" s="199"/>
      <c r="C111" s="200"/>
      <c r="D111" s="201"/>
      <c r="E111" s="202"/>
      <c r="F111" s="203"/>
      <c r="G111" s="204"/>
      <c r="H111" s="158"/>
    </row>
    <row r="112" spans="1:8" ht="15.75" thickBot="1">
      <c r="A112" s="243"/>
      <c r="B112" s="182"/>
      <c r="C112" s="183"/>
      <c r="D112" s="184"/>
      <c r="E112" s="185" t="s">
        <v>131</v>
      </c>
      <c r="F112" s="186"/>
      <c r="G112" s="187"/>
      <c r="H112" s="188">
        <f>ROUND(SUM(G110:G111),0)</f>
        <v>0</v>
      </c>
    </row>
    <row r="113" spans="1:8" ht="16.5" thickBot="1">
      <c r="A113" s="243"/>
      <c r="B113" s="156" t="s">
        <v>132</v>
      </c>
      <c r="C113" s="157"/>
      <c r="D113" s="158"/>
      <c r="E113" s="158"/>
      <c r="F113" s="159"/>
      <c r="G113" s="160"/>
    </row>
    <row r="114" spans="1:8" ht="15.75" thickBot="1">
      <c r="A114" s="243"/>
      <c r="B114" s="189" t="s">
        <v>115</v>
      </c>
      <c r="C114" s="205" t="s">
        <v>59</v>
      </c>
      <c r="D114" s="205" t="s">
        <v>16</v>
      </c>
      <c r="E114" s="206" t="s">
        <v>124</v>
      </c>
      <c r="F114" s="207" t="s">
        <v>118</v>
      </c>
      <c r="G114" s="208" t="s">
        <v>119</v>
      </c>
      <c r="H114" s="158"/>
    </row>
    <row r="115" spans="1:8" s="532" customFormat="1" ht="11.25">
      <c r="A115" s="528"/>
      <c r="B115" s="195" t="s">
        <v>144</v>
      </c>
      <c r="C115" s="196" t="s">
        <v>134</v>
      </c>
      <c r="D115" s="529">
        <f>1/30</f>
        <v>3.3333333333333333E-2</v>
      </c>
      <c r="E115" s="530">
        <v>272021.33999999997</v>
      </c>
      <c r="F115" s="518"/>
      <c r="G115" s="198">
        <f>+D115*E115</f>
        <v>9067.3779999999988</v>
      </c>
      <c r="H115" s="531" t="s">
        <v>135</v>
      </c>
    </row>
    <row r="116" spans="1:8" s="532" customFormat="1" ht="12" thickBot="1">
      <c r="A116" s="528"/>
      <c r="B116" s="151"/>
      <c r="C116" s="177"/>
      <c r="D116" s="533"/>
      <c r="E116" s="534"/>
      <c r="F116" s="277"/>
      <c r="G116" s="535"/>
      <c r="H116" s="531"/>
    </row>
    <row r="117" spans="1:8" ht="15.75" thickBot="1">
      <c r="A117" s="243"/>
      <c r="B117" s="182"/>
      <c r="C117" s="183"/>
      <c r="D117" s="184"/>
      <c r="E117" s="185" t="s">
        <v>131</v>
      </c>
      <c r="F117" s="186"/>
      <c r="G117" s="187"/>
      <c r="H117" s="188">
        <f>ROUND(SUM(G115:G116),0)</f>
        <v>9067</v>
      </c>
    </row>
    <row r="118" spans="1:8" ht="25.5" customHeight="1" thickBot="1">
      <c r="A118" s="243"/>
      <c r="B118" s="182"/>
      <c r="C118" s="183"/>
      <c r="D118" s="184"/>
      <c r="E118" s="185"/>
      <c r="F118" s="186"/>
      <c r="G118" s="187"/>
    </row>
    <row r="119" spans="1:8" ht="18.75" thickBot="1">
      <c r="A119" s="243"/>
      <c r="B119" s="238"/>
      <c r="C119" s="157"/>
      <c r="D119" s="158"/>
      <c r="E119" s="239" t="s">
        <v>137</v>
      </c>
      <c r="F119" s="240"/>
      <c r="G119" s="160"/>
      <c r="H119" s="241">
        <f>SUM(H100,H107,H112,H117)</f>
        <v>79263</v>
      </c>
    </row>
    <row r="120" spans="1:8" ht="18.75" thickBot="1">
      <c r="A120" s="217"/>
      <c r="B120" s="238"/>
      <c r="C120" s="157"/>
      <c r="D120" s="158"/>
      <c r="E120" s="239"/>
      <c r="F120" s="240"/>
      <c r="G120" s="160"/>
      <c r="H120" s="242"/>
    </row>
    <row r="121" spans="1:8" ht="21" thickBot="1">
      <c r="A121" s="891" t="s">
        <v>109</v>
      </c>
      <c r="B121" s="892"/>
      <c r="C121" s="892"/>
      <c r="D121" s="892"/>
      <c r="E121" s="892"/>
      <c r="F121" s="892"/>
      <c r="G121" s="892"/>
      <c r="H121" s="892"/>
    </row>
    <row r="122" spans="1:8" ht="15.75">
      <c r="A122" s="243"/>
      <c r="B122" s="153" t="s">
        <v>110</v>
      </c>
      <c r="C122" s="917" t="str">
        <f>C3</f>
        <v>ALCALDIA DE CÚCUTA</v>
      </c>
      <c r="D122" s="918"/>
      <c r="E122" s="918"/>
      <c r="F122" s="918"/>
      <c r="G122" s="918"/>
      <c r="H122" s="919"/>
    </row>
    <row r="123" spans="1:8">
      <c r="A123" s="243"/>
      <c r="B123" s="154" t="s">
        <v>112</v>
      </c>
      <c r="C123" s="902" t="str">
        <f>PRESUPUESTO!A1</f>
        <v>" MEJORAMIENTO, ADECUACIÓN MENOR Y MANTENIMIENTO DE LA INFRAESTRUCTURA DE LAS INSTITUCIONES EDUCATIVAS URBANAS Y RURALES DEL MUNICIPIO DE SAN JOSÉ DE CÚCUTA"</v>
      </c>
      <c r="D123" s="903"/>
      <c r="E123" s="903"/>
      <c r="F123" s="903"/>
      <c r="G123" s="903"/>
      <c r="H123" s="904"/>
    </row>
    <row r="124" spans="1:8">
      <c r="A124" s="243"/>
      <c r="B124" s="155" t="s">
        <v>138</v>
      </c>
      <c r="C124" s="905"/>
      <c r="D124" s="906"/>
      <c r="E124" s="906"/>
      <c r="F124" s="906"/>
      <c r="G124" s="906"/>
      <c r="H124" s="907"/>
    </row>
    <row r="125" spans="1:8" ht="57.75" customHeight="1" thickBot="1">
      <c r="A125" s="243"/>
      <c r="B125" s="151" t="s">
        <v>113</v>
      </c>
      <c r="C125" s="152">
        <f>PRESUPUESTO!A19</f>
        <v>3.2</v>
      </c>
      <c r="D125" s="908" t="str">
        <f>PRESUPUESTO!C19</f>
        <v>SUMINISTRO E INSTALACION de baranda en tubo metálico de 11/2" y tensores de 2 filas en tubo metálico de 1", apoyada sobre parales en platina de acero de 2" X 3/16" y anclaje epoxico Hilti RD500</v>
      </c>
      <c r="E125" s="909"/>
      <c r="F125" s="909"/>
      <c r="G125" s="909"/>
      <c r="H125" s="910"/>
    </row>
    <row r="126" spans="1:8" ht="16.5" thickBot="1">
      <c r="A126" s="243"/>
      <c r="B126" s="156" t="s">
        <v>114</v>
      </c>
      <c r="C126" s="244"/>
      <c r="D126" s="217"/>
      <c r="E126" s="217"/>
      <c r="F126" s="159"/>
      <c r="G126" s="218" t="s">
        <v>59</v>
      </c>
      <c r="H126" s="219" t="str">
        <f>PRESUPUESTO!D19</f>
        <v>ML</v>
      </c>
    </row>
    <row r="127" spans="1:8" ht="15.75" thickBot="1">
      <c r="A127" s="243"/>
      <c r="B127" s="212" t="s">
        <v>115</v>
      </c>
      <c r="C127" s="214" t="s">
        <v>97</v>
      </c>
      <c r="D127" s="214" t="s">
        <v>117</v>
      </c>
      <c r="E127" s="214" t="s">
        <v>116</v>
      </c>
      <c r="F127" s="207" t="s">
        <v>118</v>
      </c>
      <c r="G127" s="220" t="s">
        <v>119</v>
      </c>
      <c r="H127" s="221"/>
    </row>
    <row r="128" spans="1:8">
      <c r="A128" s="243"/>
      <c r="B128" s="516" t="s">
        <v>120</v>
      </c>
      <c r="C128" s="196" t="s">
        <v>121</v>
      </c>
      <c r="D128" s="517">
        <v>0.12</v>
      </c>
      <c r="E128" s="196">
        <f>H145</f>
        <v>3886</v>
      </c>
      <c r="F128" s="518"/>
      <c r="G128" s="519">
        <f>E128*D128</f>
        <v>466.32</v>
      </c>
      <c r="H128" s="158"/>
    </row>
    <row r="129" spans="1:8" ht="15.75" thickBot="1">
      <c r="A129" s="243"/>
      <c r="B129" s="176"/>
      <c r="C129" s="520"/>
      <c r="D129" s="537"/>
      <c r="E129" s="520"/>
      <c r="F129" s="521"/>
      <c r="G129" s="522"/>
      <c r="H129" s="158"/>
    </row>
    <row r="130" spans="1:8" ht="15.75" thickBot="1">
      <c r="A130" s="243"/>
      <c r="B130" s="182"/>
      <c r="C130" s="183"/>
      <c r="D130" s="184"/>
      <c r="E130" s="184" t="s">
        <v>122</v>
      </c>
      <c r="F130" s="224"/>
      <c r="G130" s="187"/>
      <c r="H130" s="188">
        <f>ROUND(SUM(G128:G129),0)</f>
        <v>466</v>
      </c>
    </row>
    <row r="131" spans="1:8" ht="16.5" thickBot="1">
      <c r="A131" s="243"/>
      <c r="B131" s="156" t="s">
        <v>123</v>
      </c>
      <c r="C131" s="157"/>
      <c r="D131" s="158"/>
      <c r="E131" s="158"/>
      <c r="F131" s="159"/>
      <c r="G131" s="160"/>
    </row>
    <row r="132" spans="1:8" ht="15.75" thickBot="1">
      <c r="A132" s="243"/>
      <c r="B132" s="162" t="s">
        <v>115</v>
      </c>
      <c r="C132" s="163" t="s">
        <v>59</v>
      </c>
      <c r="D132" s="163" t="s">
        <v>16</v>
      </c>
      <c r="E132" s="163" t="s">
        <v>124</v>
      </c>
      <c r="F132" s="164" t="s">
        <v>118</v>
      </c>
      <c r="G132" s="165" t="s">
        <v>119</v>
      </c>
      <c r="H132" s="158"/>
    </row>
    <row r="133" spans="1:8">
      <c r="A133" s="243"/>
      <c r="B133" s="166" t="s">
        <v>153</v>
      </c>
      <c r="C133" s="167" t="s">
        <v>30</v>
      </c>
      <c r="D133" s="167">
        <v>1</v>
      </c>
      <c r="E133" s="168">
        <v>210569.15700000001</v>
      </c>
      <c r="F133" s="169"/>
      <c r="G133" s="170">
        <f>E133*D133</f>
        <v>210569.15700000001</v>
      </c>
      <c r="H133" s="158"/>
    </row>
    <row r="134" spans="1:8" ht="15.75" thickBot="1">
      <c r="A134" s="243"/>
      <c r="B134" s="176"/>
      <c r="C134" s="177"/>
      <c r="D134" s="178"/>
      <c r="E134" s="179"/>
      <c r="F134" s="180"/>
      <c r="G134" s="181"/>
      <c r="H134" s="158"/>
    </row>
    <row r="135" spans="1:8" ht="15.75" thickBot="1">
      <c r="A135" s="243"/>
      <c r="B135" s="182"/>
      <c r="C135" s="183"/>
      <c r="D135" s="184"/>
      <c r="E135" s="185" t="s">
        <v>125</v>
      </c>
      <c r="F135" s="186"/>
      <c r="G135" s="187"/>
      <c r="H135" s="188">
        <f>ROUND(SUM(G133:G134),0)</f>
        <v>210569</v>
      </c>
    </row>
    <row r="136" spans="1:8" ht="16.5" thickBot="1">
      <c r="A136" s="243"/>
      <c r="B136" s="156" t="s">
        <v>126</v>
      </c>
      <c r="C136" s="157"/>
      <c r="D136" s="158"/>
      <c r="E136" s="158"/>
      <c r="F136" s="159"/>
      <c r="G136" s="160"/>
    </row>
    <row r="137" spans="1:8" ht="15.75" thickBot="1">
      <c r="A137" s="243"/>
      <c r="B137" s="189" t="s">
        <v>115</v>
      </c>
      <c r="C137" s="190" t="s">
        <v>127</v>
      </c>
      <c r="D137" s="191" t="s">
        <v>128</v>
      </c>
      <c r="E137" s="192" t="s">
        <v>124</v>
      </c>
      <c r="F137" s="193" t="s">
        <v>129</v>
      </c>
      <c r="G137" s="194" t="s">
        <v>119</v>
      </c>
      <c r="H137" s="158"/>
    </row>
    <row r="138" spans="1:8">
      <c r="A138" s="243"/>
      <c r="B138" s="195"/>
      <c r="C138" s="196"/>
      <c r="D138" s="196"/>
      <c r="E138" s="197"/>
      <c r="F138" s="225"/>
      <c r="G138" s="198"/>
      <c r="H138" s="158"/>
    </row>
    <row r="139" spans="1:8" ht="15.75" thickBot="1">
      <c r="A139" s="243"/>
      <c r="B139" s="199"/>
      <c r="C139" s="200"/>
      <c r="D139" s="201"/>
      <c r="E139" s="202"/>
      <c r="F139" s="203"/>
      <c r="G139" s="204"/>
      <c r="H139" s="158"/>
    </row>
    <row r="140" spans="1:8" ht="15.75" thickBot="1">
      <c r="A140" s="243"/>
      <c r="B140" s="182"/>
      <c r="C140" s="183"/>
      <c r="D140" s="184"/>
      <c r="E140" s="185" t="s">
        <v>131</v>
      </c>
      <c r="F140" s="186"/>
      <c r="G140" s="187"/>
      <c r="H140" s="188">
        <f>ROUND(SUM(G138:G139),0)</f>
        <v>0</v>
      </c>
    </row>
    <row r="141" spans="1:8" ht="16.5" thickBot="1">
      <c r="A141" s="243"/>
      <c r="B141" s="156" t="s">
        <v>132</v>
      </c>
      <c r="C141" s="157"/>
      <c r="D141" s="158"/>
      <c r="E141" s="158"/>
      <c r="F141" s="159"/>
      <c r="G141" s="160"/>
    </row>
    <row r="142" spans="1:8" ht="15.75" thickBot="1">
      <c r="A142" s="243"/>
      <c r="B142" s="189" t="s">
        <v>115</v>
      </c>
      <c r="C142" s="205" t="s">
        <v>59</v>
      </c>
      <c r="D142" s="205" t="s">
        <v>16</v>
      </c>
      <c r="E142" s="206" t="s">
        <v>124</v>
      </c>
      <c r="F142" s="207" t="s">
        <v>118</v>
      </c>
      <c r="G142" s="208" t="s">
        <v>119</v>
      </c>
      <c r="H142" s="158"/>
    </row>
    <row r="143" spans="1:8" s="532" customFormat="1" ht="11.25">
      <c r="A143" s="528"/>
      <c r="B143" s="195" t="s">
        <v>144</v>
      </c>
      <c r="C143" s="196" t="s">
        <v>134</v>
      </c>
      <c r="D143" s="529">
        <f>1/70</f>
        <v>1.4285714285714285E-2</v>
      </c>
      <c r="E143" s="530">
        <v>272021.33999999997</v>
      </c>
      <c r="F143" s="518"/>
      <c r="G143" s="198">
        <f>+D143*E143</f>
        <v>3886.0191428571425</v>
      </c>
      <c r="H143" s="531" t="s">
        <v>135</v>
      </c>
    </row>
    <row r="144" spans="1:8" s="532" customFormat="1" ht="12" thickBot="1">
      <c r="A144" s="528"/>
      <c r="B144" s="151"/>
      <c r="C144" s="177"/>
      <c r="D144" s="533"/>
      <c r="E144" s="534"/>
      <c r="F144" s="277"/>
      <c r="G144" s="535"/>
      <c r="H144" s="531"/>
    </row>
    <row r="145" spans="1:9" ht="15.75" thickBot="1">
      <c r="A145" s="243"/>
      <c r="B145" s="182"/>
      <c r="C145" s="183"/>
      <c r="D145" s="184"/>
      <c r="E145" s="185" t="s">
        <v>131</v>
      </c>
      <c r="F145" s="186"/>
      <c r="G145" s="187"/>
      <c r="H145" s="188">
        <f>ROUND(SUM(G143:G144),0)</f>
        <v>3886</v>
      </c>
    </row>
    <row r="146" spans="1:9" ht="25.5" customHeight="1" thickBot="1">
      <c r="A146" s="243"/>
      <c r="B146" s="182"/>
      <c r="C146" s="183"/>
      <c r="D146" s="184"/>
      <c r="E146" s="185"/>
      <c r="F146" s="186"/>
      <c r="G146" s="187"/>
    </row>
    <row r="147" spans="1:9" ht="18.75" thickBot="1">
      <c r="A147" s="243"/>
      <c r="B147" s="238"/>
      <c r="C147" s="157"/>
      <c r="D147" s="158"/>
      <c r="E147" s="239" t="s">
        <v>137</v>
      </c>
      <c r="F147" s="240"/>
      <c r="G147" s="160"/>
      <c r="H147" s="241">
        <f>SUM(H130,H135,H140,H145)</f>
        <v>214921</v>
      </c>
    </row>
    <row r="148" spans="1:9" ht="18.75" thickBot="1">
      <c r="A148" s="250"/>
      <c r="B148" s="256"/>
      <c r="C148" s="253"/>
      <c r="D148" s="252"/>
      <c r="E148" s="257"/>
      <c r="F148" s="257"/>
      <c r="G148" s="252"/>
      <c r="H148" s="453"/>
      <c r="I148" s="250"/>
    </row>
    <row r="149" spans="1:9" ht="20.25">
      <c r="A149" s="888" t="s">
        <v>109</v>
      </c>
      <c r="B149" s="889"/>
      <c r="C149" s="889"/>
      <c r="D149" s="889"/>
      <c r="E149" s="889"/>
      <c r="F149" s="889"/>
      <c r="G149" s="889"/>
      <c r="H149" s="890"/>
    </row>
    <row r="150" spans="1:9" ht="21" thickBot="1">
      <c r="A150" s="259"/>
      <c r="B150" s="260"/>
      <c r="C150" s="260"/>
      <c r="D150" s="260"/>
      <c r="E150" s="260"/>
      <c r="F150" s="260"/>
      <c r="G150" s="260"/>
      <c r="H150" s="261"/>
    </row>
    <row r="151" spans="1:9" ht="15.75">
      <c r="A151" s="262"/>
      <c r="B151" s="153" t="s">
        <v>110</v>
      </c>
      <c r="C151" s="893" t="str">
        <f>C3</f>
        <v>ALCALDIA DE CÚCUTA</v>
      </c>
      <c r="D151" s="894"/>
      <c r="E151" s="894"/>
      <c r="F151" s="894"/>
      <c r="G151" s="894"/>
      <c r="H151" s="895"/>
    </row>
    <row r="152" spans="1:9">
      <c r="A152" s="262"/>
      <c r="B152" s="154" t="s">
        <v>112</v>
      </c>
      <c r="C152" s="902" t="str">
        <f>PRESUPUESTO!A1</f>
        <v>" MEJORAMIENTO, ADECUACIÓN MENOR Y MANTENIMIENTO DE LA INFRAESTRUCTURA DE LAS INSTITUCIONES EDUCATIVAS URBANAS Y RURALES DEL MUNICIPIO DE SAN JOSÉ DE CÚCUTA"</v>
      </c>
      <c r="D152" s="903"/>
      <c r="E152" s="903"/>
      <c r="F152" s="903"/>
      <c r="G152" s="903"/>
      <c r="H152" s="922"/>
    </row>
    <row r="153" spans="1:9">
      <c r="A153" s="262"/>
      <c r="B153" s="155" t="s">
        <v>138</v>
      </c>
      <c r="C153" s="905"/>
      <c r="D153" s="906"/>
      <c r="E153" s="906"/>
      <c r="F153" s="906"/>
      <c r="G153" s="906"/>
      <c r="H153" s="923"/>
    </row>
    <row r="154" spans="1:9" ht="31.5" customHeight="1" thickBot="1">
      <c r="A154" s="262"/>
      <c r="B154" s="151" t="s">
        <v>113</v>
      </c>
      <c r="C154" s="152">
        <f>PRESUPUESTO!A22</f>
        <v>4.0999999999999996</v>
      </c>
      <c r="D154" s="908" t="str">
        <f>PRESUPUESTO!C22</f>
        <v>SUMINISTRO DE MATERIALES Y APLICACIÓN DE TRES (3) MANOS DE PINTURA VINILICA PARA MUROS TIPO 1(INCLUYE RESANES) COLOR A ESCOGER.</v>
      </c>
      <c r="E154" s="909"/>
      <c r="F154" s="909"/>
      <c r="G154" s="909"/>
      <c r="H154" s="921"/>
    </row>
    <row r="155" spans="1:9" ht="16.5" thickBot="1">
      <c r="A155" s="262"/>
      <c r="B155" s="156" t="s">
        <v>114</v>
      </c>
      <c r="C155" s="244"/>
      <c r="D155" s="217"/>
      <c r="E155" s="263"/>
      <c r="F155" s="159"/>
      <c r="G155" s="264" t="s">
        <v>59</v>
      </c>
      <c r="H155" s="265" t="str">
        <f>PRESUPUESTO!D22</f>
        <v>M2</v>
      </c>
    </row>
    <row r="156" spans="1:9" ht="15.75" thickBot="1">
      <c r="A156" s="262"/>
      <c r="B156" s="212" t="s">
        <v>115</v>
      </c>
      <c r="C156" s="214" t="s">
        <v>97</v>
      </c>
      <c r="D156" s="214" t="s">
        <v>116</v>
      </c>
      <c r="E156" s="269" t="s">
        <v>117</v>
      </c>
      <c r="F156" s="207" t="s">
        <v>118</v>
      </c>
      <c r="G156" s="270" t="s">
        <v>119</v>
      </c>
      <c r="H156" s="271"/>
    </row>
    <row r="157" spans="1:9">
      <c r="A157" s="262"/>
      <c r="B157" s="268" t="s">
        <v>120</v>
      </c>
      <c r="C157" s="173" t="s">
        <v>121</v>
      </c>
      <c r="D157" s="216">
        <v>0.12</v>
      </c>
      <c r="E157" s="272">
        <f>H176</f>
        <v>8500.666874999999</v>
      </c>
      <c r="F157" s="273"/>
      <c r="G157" s="274">
        <f>+D157*E157</f>
        <v>1020.0800249999999</v>
      </c>
      <c r="H157" s="275"/>
    </row>
    <row r="158" spans="1:9" ht="15.75" thickBot="1">
      <c r="A158" s="262"/>
      <c r="B158" s="176" t="s">
        <v>149</v>
      </c>
      <c r="C158" s="177"/>
      <c r="D158" s="282">
        <v>0.01</v>
      </c>
      <c r="E158" s="276">
        <v>27800</v>
      </c>
      <c r="F158" s="277"/>
      <c r="G158" s="278">
        <f>D158*E158</f>
        <v>278</v>
      </c>
      <c r="H158" s="275"/>
    </row>
    <row r="159" spans="1:9" ht="15.75" thickBot="1">
      <c r="A159" s="262"/>
      <c r="B159" s="182"/>
      <c r="C159" s="183"/>
      <c r="D159" s="184"/>
      <c r="E159" s="279" t="s">
        <v>122</v>
      </c>
      <c r="F159" s="224"/>
      <c r="G159" s="280"/>
      <c r="H159" s="281">
        <f>SUM(G157:G158)</f>
        <v>1298.0800249999998</v>
      </c>
    </row>
    <row r="160" spans="1:9" ht="16.5" thickBot="1">
      <c r="A160" s="262"/>
      <c r="B160" s="156" t="s">
        <v>123</v>
      </c>
      <c r="C160" s="157"/>
      <c r="D160" s="158"/>
      <c r="E160" s="263"/>
      <c r="F160" s="159"/>
      <c r="G160" s="294"/>
      <c r="H160" s="275"/>
    </row>
    <row r="161" spans="1:11" ht="15.75" thickBot="1">
      <c r="A161" s="262"/>
      <c r="B161" s="283" t="s">
        <v>115</v>
      </c>
      <c r="C161" s="205" t="s">
        <v>59</v>
      </c>
      <c r="D161" s="205" t="s">
        <v>16</v>
      </c>
      <c r="E161" s="269" t="s">
        <v>124</v>
      </c>
      <c r="F161" s="207" t="s">
        <v>118</v>
      </c>
      <c r="G161" s="288" t="s">
        <v>119</v>
      </c>
      <c r="H161" s="275"/>
    </row>
    <row r="162" spans="1:11">
      <c r="A162" s="262"/>
      <c r="B162" s="284" t="s">
        <v>154</v>
      </c>
      <c r="C162" s="285" t="s">
        <v>155</v>
      </c>
      <c r="D162" s="286">
        <v>2.5000000000000001E-2</v>
      </c>
      <c r="E162" s="287">
        <v>171686.48</v>
      </c>
      <c r="F162" s="289"/>
      <c r="G162" s="290">
        <f>D162*E162</f>
        <v>4292.1620000000003</v>
      </c>
      <c r="H162" s="275"/>
    </row>
    <row r="163" spans="1:11">
      <c r="A163" s="262"/>
      <c r="B163" s="284" t="s">
        <v>139</v>
      </c>
      <c r="C163" s="285" t="s">
        <v>140</v>
      </c>
      <c r="D163" s="286">
        <v>2.5000000000000001E-2</v>
      </c>
      <c r="E163" s="287">
        <v>22173</v>
      </c>
      <c r="F163" s="289"/>
      <c r="G163" s="290">
        <f t="shared" ref="G163" si="1">D163*E163</f>
        <v>554.32500000000005</v>
      </c>
      <c r="H163" s="275"/>
      <c r="K163" s="161" t="s">
        <v>154</v>
      </c>
    </row>
    <row r="164" spans="1:11">
      <c r="A164" s="262"/>
      <c r="B164" s="284" t="s">
        <v>141</v>
      </c>
      <c r="C164" s="285" t="s">
        <v>96</v>
      </c>
      <c r="D164" s="286">
        <v>2.5000000000000001E-2</v>
      </c>
      <c r="E164" s="287">
        <v>50806.328000000001</v>
      </c>
      <c r="F164" s="289"/>
      <c r="G164" s="290">
        <f>+E164*D164</f>
        <v>1270.1582000000001</v>
      </c>
      <c r="H164" s="275"/>
      <c r="K164" s="161" t="s">
        <v>139</v>
      </c>
    </row>
    <row r="165" spans="1:11" ht="15.75" thickBot="1">
      <c r="A165" s="262"/>
      <c r="B165" s="454"/>
      <c r="C165" s="455"/>
      <c r="D165" s="456"/>
      <c r="E165" s="457"/>
      <c r="F165" s="180"/>
      <c r="G165" s="291"/>
      <c r="H165" s="275"/>
    </row>
    <row r="166" spans="1:11" ht="15.75" thickBot="1">
      <c r="A166" s="262"/>
      <c r="B166" s="182"/>
      <c r="C166" s="183"/>
      <c r="D166" s="184"/>
      <c r="E166" s="293" t="s">
        <v>125</v>
      </c>
      <c r="F166" s="186"/>
      <c r="G166" s="280"/>
      <c r="H166" s="292">
        <f>SUM(G162:G165)</f>
        <v>6116.6451999999999</v>
      </c>
    </row>
    <row r="167" spans="1:11" ht="16.5" thickBot="1">
      <c r="A167" s="262"/>
      <c r="B167" s="156" t="s">
        <v>126</v>
      </c>
      <c r="C167" s="157"/>
      <c r="D167" s="158"/>
      <c r="E167" s="263"/>
      <c r="F167" s="159"/>
      <c r="G167" s="294"/>
      <c r="H167" s="275"/>
    </row>
    <row r="168" spans="1:11" ht="15.75" thickBot="1">
      <c r="A168" s="262"/>
      <c r="B168" s="189" t="s">
        <v>115</v>
      </c>
      <c r="C168" s="190" t="s">
        <v>127</v>
      </c>
      <c r="D168" s="191" t="s">
        <v>128</v>
      </c>
      <c r="E168" s="295" t="s">
        <v>124</v>
      </c>
      <c r="F168" s="193" t="s">
        <v>129</v>
      </c>
      <c r="G168" s="296" t="s">
        <v>119</v>
      </c>
      <c r="H168" s="275"/>
    </row>
    <row r="169" spans="1:11" ht="15.75" thickBot="1">
      <c r="A169" s="262"/>
      <c r="B169" s="195"/>
      <c r="C169" s="196"/>
      <c r="D169" s="196"/>
      <c r="E169" s="297"/>
      <c r="F169" s="581"/>
      <c r="G169" s="298"/>
      <c r="H169" s="275"/>
    </row>
    <row r="170" spans="1:11" ht="15.75" thickBot="1">
      <c r="A170" s="262"/>
      <c r="B170" s="199"/>
      <c r="C170" s="200"/>
      <c r="D170" s="201"/>
      <c r="E170" s="299"/>
      <c r="F170" s="203"/>
      <c r="G170" s="300"/>
      <c r="H170" s="292"/>
    </row>
    <row r="171" spans="1:11">
      <c r="A171" s="262"/>
      <c r="B171" s="182"/>
      <c r="C171" s="183"/>
      <c r="D171" s="184"/>
      <c r="E171" s="293" t="s">
        <v>131</v>
      </c>
      <c r="F171" s="186"/>
      <c r="G171" s="280"/>
      <c r="H171" s="275"/>
    </row>
    <row r="172" spans="1:11" ht="16.5" thickBot="1">
      <c r="A172" s="262"/>
      <c r="B172" s="156" t="s">
        <v>132</v>
      </c>
      <c r="C172" s="157"/>
      <c r="D172" s="158"/>
      <c r="E172" s="263"/>
      <c r="F172" s="159"/>
      <c r="G172" s="294"/>
      <c r="H172" s="301"/>
    </row>
    <row r="173" spans="1:11" ht="15.75" thickBot="1">
      <c r="A173" s="262"/>
      <c r="B173" s="189" t="s">
        <v>115</v>
      </c>
      <c r="C173" s="205" t="s">
        <v>59</v>
      </c>
      <c r="D173" s="205" t="s">
        <v>16</v>
      </c>
      <c r="E173" s="302" t="s">
        <v>124</v>
      </c>
      <c r="F173" s="207" t="s">
        <v>118</v>
      </c>
      <c r="G173" s="288" t="s">
        <v>119</v>
      </c>
      <c r="H173" s="275"/>
    </row>
    <row r="174" spans="1:11">
      <c r="A174" s="262"/>
      <c r="B174" s="195" t="s">
        <v>156</v>
      </c>
      <c r="C174" s="196" t="s">
        <v>134</v>
      </c>
      <c r="D174" s="196">
        <f>1/32</f>
        <v>3.125E-2</v>
      </c>
      <c r="E174" s="267">
        <v>272021.33999999997</v>
      </c>
      <c r="F174" s="518"/>
      <c r="G174" s="298">
        <f>+D174*E174</f>
        <v>8500.666874999999</v>
      </c>
      <c r="H174" s="275"/>
    </row>
    <row r="175" spans="1:11" ht="15.75" thickBot="1">
      <c r="A175" s="262"/>
      <c r="B175" s="199"/>
      <c r="C175" s="200"/>
      <c r="D175" s="201"/>
      <c r="E175" s="299"/>
      <c r="F175" s="203"/>
      <c r="G175" s="300"/>
      <c r="H175" s="275"/>
    </row>
    <row r="176" spans="1:11" ht="15.75" thickBot="1">
      <c r="A176" s="262"/>
      <c r="B176" s="182"/>
      <c r="C176" s="183"/>
      <c r="D176" s="184"/>
      <c r="E176" s="293" t="s">
        <v>131</v>
      </c>
      <c r="F176" s="186"/>
      <c r="G176" s="280"/>
      <c r="H176" s="292">
        <f>+G174</f>
        <v>8500.666874999999</v>
      </c>
    </row>
    <row r="177" spans="1:8" ht="15.75" thickBot="1">
      <c r="A177" s="262"/>
      <c r="B177" s="182"/>
      <c r="C177" s="183"/>
      <c r="D177" s="184"/>
      <c r="E177" s="293"/>
      <c r="F177" s="186"/>
      <c r="G177" s="280"/>
      <c r="H177" s="301"/>
    </row>
    <row r="178" spans="1:8" ht="18.75" thickBot="1">
      <c r="A178" s="262"/>
      <c r="B178" s="238"/>
      <c r="C178" s="157"/>
      <c r="D178" s="158"/>
      <c r="E178" s="301" t="s">
        <v>137</v>
      </c>
      <c r="F178" s="240"/>
      <c r="G178" s="294"/>
      <c r="H178" s="241">
        <f>+H176+H170+H166+H159</f>
        <v>15915.392099999997</v>
      </c>
    </row>
    <row r="179" spans="1:8" ht="18.75" thickBot="1">
      <c r="A179" s="217"/>
      <c r="B179" s="238"/>
      <c r="C179" s="157"/>
      <c r="D179" s="158"/>
      <c r="E179" s="301"/>
      <c r="F179" s="240"/>
      <c r="G179" s="294"/>
      <c r="H179" s="242"/>
    </row>
    <row r="180" spans="1:8">
      <c r="A180" s="243"/>
      <c r="B180" s="245" t="s">
        <v>110</v>
      </c>
      <c r="C180" s="911" t="str">
        <f>C3</f>
        <v>ALCALDIA DE CÚCUTA</v>
      </c>
      <c r="D180" s="912"/>
      <c r="E180" s="912"/>
      <c r="F180" s="912"/>
      <c r="G180" s="912"/>
      <c r="H180" s="913"/>
    </row>
    <row r="181" spans="1:8">
      <c r="A181" s="243"/>
      <c r="B181" s="246" t="s">
        <v>112</v>
      </c>
      <c r="C181" s="896" t="str">
        <f>+C152</f>
        <v>" MEJORAMIENTO, ADECUACIÓN MENOR Y MANTENIMIENTO DE LA INFRAESTRUCTURA DE LAS INSTITUCIONES EDUCATIVAS URBANAS Y RURALES DEL MUNICIPIO DE SAN JOSÉ DE CÚCUTA"</v>
      </c>
      <c r="D181" s="897"/>
      <c r="E181" s="897"/>
      <c r="F181" s="897"/>
      <c r="G181" s="897"/>
      <c r="H181" s="898"/>
    </row>
    <row r="182" spans="1:8">
      <c r="A182" s="243"/>
      <c r="B182" s="155" t="s">
        <v>138</v>
      </c>
      <c r="C182" s="899"/>
      <c r="D182" s="900"/>
      <c r="E182" s="900"/>
      <c r="F182" s="900"/>
      <c r="G182" s="900"/>
      <c r="H182" s="901"/>
    </row>
    <row r="183" spans="1:8" ht="40.5" customHeight="1" thickBot="1">
      <c r="A183" s="243"/>
      <c r="B183" s="247" t="s">
        <v>113</v>
      </c>
      <c r="C183" s="549">
        <f>PRESUPUESTO!A25</f>
        <v>5.0999999999999996</v>
      </c>
      <c r="D183" s="914" t="str">
        <f>PRESUPUESTO!C25</f>
        <v>SUMINISTRO E INSTALACION de cinta antideslizante</v>
      </c>
      <c r="E183" s="915"/>
      <c r="F183" s="915"/>
      <c r="G183" s="915"/>
      <c r="H183" s="916"/>
    </row>
    <row r="184" spans="1:8" ht="15.75" thickBot="1">
      <c r="A184" s="243"/>
      <c r="B184" s="248" t="s">
        <v>114</v>
      </c>
      <c r="C184" s="249"/>
      <c r="D184" s="250"/>
      <c r="E184" s="250"/>
      <c r="F184" s="250"/>
      <c r="G184" s="251" t="s">
        <v>59</v>
      </c>
      <c r="H184" s="266" t="str">
        <f>PRESUPUESTO!D25</f>
        <v>ML</v>
      </c>
    </row>
    <row r="185" spans="1:8" ht="15.75" thickBot="1">
      <c r="A185" s="243"/>
      <c r="B185" s="303" t="s">
        <v>115</v>
      </c>
      <c r="C185" s="304" t="s">
        <v>97</v>
      </c>
      <c r="D185" s="305" t="s">
        <v>16</v>
      </c>
      <c r="E185" s="306" t="s">
        <v>157</v>
      </c>
      <c r="F185" s="307" t="s">
        <v>118</v>
      </c>
      <c r="G185" s="308" t="s">
        <v>119</v>
      </c>
      <c r="H185" s="309"/>
    </row>
    <row r="186" spans="1:8">
      <c r="A186" s="243"/>
      <c r="B186" s="310" t="s">
        <v>120</v>
      </c>
      <c r="C186" s="311" t="s">
        <v>121</v>
      </c>
      <c r="D186" s="312">
        <v>0.12</v>
      </c>
      <c r="E186" s="313">
        <f>H203</f>
        <v>12953.39714285714</v>
      </c>
      <c r="F186" s="314"/>
      <c r="G186" s="315">
        <f>D186*E186</f>
        <v>1554.4076571428568</v>
      </c>
      <c r="H186" s="316"/>
    </row>
    <row r="187" spans="1:8" ht="15.75" thickBot="1">
      <c r="A187" s="243"/>
      <c r="B187" s="268"/>
      <c r="C187" s="173"/>
      <c r="D187" s="172"/>
      <c r="E187" s="317"/>
      <c r="F187" s="318"/>
      <c r="G187" s="319"/>
      <c r="H187" s="320"/>
    </row>
    <row r="188" spans="1:8" ht="15.75" thickBot="1">
      <c r="A188" s="243"/>
      <c r="B188" s="321"/>
      <c r="C188" s="322"/>
      <c r="D188" s="323"/>
      <c r="E188" s="324" t="s">
        <v>122</v>
      </c>
      <c r="F188" s="325"/>
      <c r="G188" s="326"/>
      <c r="H188" s="327">
        <f>SUM(G186:G187)</f>
        <v>1554.4076571428568</v>
      </c>
    </row>
    <row r="189" spans="1:8" ht="16.5" thickBot="1">
      <c r="A189" s="243"/>
      <c r="B189" s="328" t="s">
        <v>123</v>
      </c>
      <c r="C189" s="329"/>
      <c r="D189" s="330"/>
      <c r="E189" s="331"/>
      <c r="F189" s="332"/>
      <c r="G189" s="332"/>
      <c r="H189" s="320"/>
    </row>
    <row r="190" spans="1:8" ht="15.75" thickBot="1">
      <c r="A190" s="243"/>
      <c r="B190" s="333" t="s">
        <v>115</v>
      </c>
      <c r="C190" s="334" t="s">
        <v>59</v>
      </c>
      <c r="D190" s="305" t="s">
        <v>16</v>
      </c>
      <c r="E190" s="335" t="s">
        <v>124</v>
      </c>
      <c r="F190" s="336" t="s">
        <v>118</v>
      </c>
      <c r="G190" s="337" t="s">
        <v>119</v>
      </c>
      <c r="H190" s="320"/>
    </row>
    <row r="191" spans="1:8">
      <c r="A191" s="243"/>
      <c r="B191" s="284" t="s">
        <v>158</v>
      </c>
      <c r="C191" s="338" t="s">
        <v>97</v>
      </c>
      <c r="D191" s="286">
        <v>0.38</v>
      </c>
      <c r="E191" s="339">
        <v>35266.17</v>
      </c>
      <c r="F191" s="340"/>
      <c r="G191" s="341">
        <f t="shared" ref="G191" si="2">D191*E191*(1+F191)</f>
        <v>13401.1446</v>
      </c>
      <c r="H191" s="320"/>
    </row>
    <row r="192" spans="1:8" ht="15.75" thickBot="1">
      <c r="A192" s="243"/>
      <c r="B192" s="342"/>
      <c r="C192" s="343"/>
      <c r="D192" s="344"/>
      <c r="E192" s="345"/>
      <c r="F192" s="346"/>
      <c r="G192" s="347"/>
      <c r="H192" s="320"/>
    </row>
    <row r="193" spans="1:8" ht="15.75" thickBot="1">
      <c r="A193" s="243"/>
      <c r="B193" s="321"/>
      <c r="C193" s="322"/>
      <c r="D193" s="323"/>
      <c r="E193" s="348" t="s">
        <v>125</v>
      </c>
      <c r="F193" s="349"/>
      <c r="G193" s="326"/>
      <c r="H193" s="327">
        <f>SUM(G191:G192)</f>
        <v>13401.1446</v>
      </c>
    </row>
    <row r="194" spans="1:8" ht="16.5" thickBot="1">
      <c r="A194" s="243"/>
      <c r="B194" s="328" t="s">
        <v>126</v>
      </c>
      <c r="C194" s="329"/>
      <c r="D194" s="330"/>
      <c r="E194" s="331"/>
      <c r="F194" s="332"/>
      <c r="G194" s="332"/>
      <c r="H194" s="320"/>
    </row>
    <row r="195" spans="1:8" ht="15.75" thickBot="1">
      <c r="A195" s="243"/>
      <c r="B195" s="350" t="s">
        <v>115</v>
      </c>
      <c r="C195" s="190" t="s">
        <v>127</v>
      </c>
      <c r="D195" s="351" t="s">
        <v>128</v>
      </c>
      <c r="E195" s="352" t="s">
        <v>124</v>
      </c>
      <c r="F195" s="353" t="s">
        <v>129</v>
      </c>
      <c r="G195" s="354" t="s">
        <v>119</v>
      </c>
      <c r="H195" s="320"/>
    </row>
    <row r="196" spans="1:8">
      <c r="A196" s="243"/>
      <c r="B196" s="355"/>
      <c r="C196" s="356"/>
      <c r="D196" s="357"/>
      <c r="E196" s="358"/>
      <c r="F196" s="582"/>
      <c r="G196" s="359"/>
      <c r="H196" s="320"/>
    </row>
    <row r="197" spans="1:8" ht="15.75" thickBot="1">
      <c r="A197" s="243"/>
      <c r="B197" s="360"/>
      <c r="C197" s="361"/>
      <c r="D197" s="362"/>
      <c r="E197" s="345"/>
      <c r="F197" s="363"/>
      <c r="G197" s="364"/>
      <c r="H197" s="320"/>
    </row>
    <row r="198" spans="1:8" ht="15.75" thickBot="1">
      <c r="A198" s="243"/>
      <c r="B198" s="321"/>
      <c r="C198" s="322"/>
      <c r="D198" s="323"/>
      <c r="E198" s="348" t="s">
        <v>131</v>
      </c>
      <c r="F198" s="349"/>
      <c r="G198" s="326"/>
      <c r="H198" s="327">
        <f>G196+G197</f>
        <v>0</v>
      </c>
    </row>
    <row r="199" spans="1:8" ht="16.5" thickBot="1">
      <c r="A199" s="243"/>
      <c r="B199" s="328" t="s">
        <v>132</v>
      </c>
      <c r="C199" s="329"/>
      <c r="D199" s="330"/>
      <c r="E199" s="331"/>
      <c r="F199" s="332"/>
      <c r="G199" s="332"/>
      <c r="H199" s="320"/>
    </row>
    <row r="200" spans="1:8" ht="15.75" thickBot="1">
      <c r="A200" s="243"/>
      <c r="B200" s="350" t="s">
        <v>115</v>
      </c>
      <c r="C200" s="334" t="s">
        <v>59</v>
      </c>
      <c r="D200" s="305" t="s">
        <v>16</v>
      </c>
      <c r="E200" s="365" t="s">
        <v>124</v>
      </c>
      <c r="F200" s="366" t="s">
        <v>118</v>
      </c>
      <c r="G200" s="367" t="s">
        <v>119</v>
      </c>
      <c r="H200" s="320" t="s">
        <v>135</v>
      </c>
    </row>
    <row r="201" spans="1:8">
      <c r="A201" s="243"/>
      <c r="B201" s="368" t="s">
        <v>156</v>
      </c>
      <c r="C201" s="356"/>
      <c r="D201" s="357">
        <f>1/21</f>
        <v>4.7619047619047616E-2</v>
      </c>
      <c r="E201" s="369">
        <v>272021.33999999997</v>
      </c>
      <c r="F201" s="583"/>
      <c r="G201" s="359">
        <f>+D201*E201</f>
        <v>12953.39714285714</v>
      </c>
      <c r="H201" s="320"/>
    </row>
    <row r="202" spans="1:8" ht="15.75" thickBot="1">
      <c r="A202" s="243"/>
      <c r="B202" s="370"/>
      <c r="C202" s="361"/>
      <c r="D202" s="371"/>
      <c r="E202" s="372"/>
      <c r="F202" s="373"/>
      <c r="G202" s="374"/>
      <c r="H202" s="320"/>
    </row>
    <row r="203" spans="1:8" ht="15.75" thickBot="1">
      <c r="A203" s="243"/>
      <c r="B203" s="321"/>
      <c r="C203" s="322"/>
      <c r="D203" s="323"/>
      <c r="E203" s="348" t="s">
        <v>131</v>
      </c>
      <c r="F203" s="349"/>
      <c r="G203" s="326"/>
      <c r="H203" s="327">
        <f>SUM(G201:G202)</f>
        <v>12953.39714285714</v>
      </c>
    </row>
    <row r="204" spans="1:8" ht="16.5" thickBot="1">
      <c r="A204" s="243"/>
      <c r="B204" s="321"/>
      <c r="C204" s="322"/>
      <c r="D204" s="323"/>
      <c r="E204" s="348"/>
      <c r="F204" s="349"/>
      <c r="G204" s="326"/>
      <c r="H204" s="375"/>
    </row>
    <row r="205" spans="1:8" ht="18.75" thickBot="1">
      <c r="A205" s="243"/>
      <c r="B205" s="376"/>
      <c r="C205" s="329"/>
      <c r="D205" s="330"/>
      <c r="E205" s="377" t="s">
        <v>137</v>
      </c>
      <c r="F205" s="378"/>
      <c r="G205" s="332"/>
      <c r="H205" s="379">
        <f>H188+H193+H198+H203</f>
        <v>27908.949399999998</v>
      </c>
    </row>
    <row r="206" spans="1:8" ht="15.75" thickBot="1">
      <c r="A206" s="243"/>
      <c r="B206" s="380"/>
      <c r="C206" s="381"/>
      <c r="D206" s="382"/>
      <c r="E206" s="382"/>
      <c r="F206" s="382"/>
      <c r="G206" s="382"/>
      <c r="H206" s="383"/>
    </row>
    <row r="207" spans="1:8" ht="15.75" thickBot="1">
      <c r="A207" s="243"/>
      <c r="B207" s="458"/>
      <c r="C207" s="459"/>
      <c r="D207" s="460"/>
      <c r="E207" s="460"/>
      <c r="F207" s="460"/>
      <c r="G207" s="460"/>
      <c r="H207" s="383"/>
    </row>
    <row r="208" spans="1:8">
      <c r="A208" s="243"/>
      <c r="B208" s="245" t="s">
        <v>110</v>
      </c>
      <c r="C208" s="911" t="str">
        <f>+C151</f>
        <v>ALCALDIA DE CÚCUTA</v>
      </c>
      <c r="D208" s="912"/>
      <c r="E208" s="912"/>
      <c r="F208" s="912"/>
      <c r="G208" s="912"/>
      <c r="H208" s="913"/>
    </row>
    <row r="209" spans="1:8">
      <c r="A209" s="243"/>
      <c r="B209" s="246" t="s">
        <v>112</v>
      </c>
      <c r="C209" s="896" t="str">
        <f>+C152</f>
        <v>" MEJORAMIENTO, ADECUACIÓN MENOR Y MANTENIMIENTO DE LA INFRAESTRUCTURA DE LAS INSTITUCIONES EDUCATIVAS URBANAS Y RURALES DEL MUNICIPIO DE SAN JOSÉ DE CÚCUTA"</v>
      </c>
      <c r="D209" s="897"/>
      <c r="E209" s="897"/>
      <c r="F209" s="897"/>
      <c r="G209" s="897"/>
      <c r="H209" s="898"/>
    </row>
    <row r="210" spans="1:8">
      <c r="A210" s="243"/>
      <c r="B210" s="155" t="s">
        <v>138</v>
      </c>
      <c r="C210" s="899"/>
      <c r="D210" s="900"/>
      <c r="E210" s="900"/>
      <c r="F210" s="900"/>
      <c r="G210" s="900"/>
      <c r="H210" s="901"/>
    </row>
    <row r="211" spans="1:8" ht="40.5" customHeight="1" thickBot="1">
      <c r="A211" s="243"/>
      <c r="B211" s="247" t="s">
        <v>113</v>
      </c>
      <c r="C211" s="549">
        <f>PRESUPUESTO!A26</f>
        <v>5.2</v>
      </c>
      <c r="D211" s="914" t="str">
        <f>PRESUPUESTO!C26</f>
        <v>ASEO GENERAL Y LIMPIEZA EN SUS ALREDEDORES Y AREAS INTERVENIDAS (Incluye pisos y muros de aulas, pasillos y zona de exparcimiento)</v>
      </c>
      <c r="E211" s="915"/>
      <c r="F211" s="915"/>
      <c r="G211" s="915"/>
      <c r="H211" s="916"/>
    </row>
    <row r="212" spans="1:8" ht="15.75" thickBot="1">
      <c r="A212" s="243"/>
      <c r="B212" s="248" t="s">
        <v>114</v>
      </c>
      <c r="C212" s="249"/>
      <c r="D212" s="250"/>
      <c r="E212" s="250"/>
      <c r="F212" s="250"/>
      <c r="G212" s="251" t="s">
        <v>59</v>
      </c>
      <c r="H212" s="266" t="str">
        <f>PRESUPUESTO!D26</f>
        <v>M2</v>
      </c>
    </row>
    <row r="213" spans="1:8" ht="15.75" thickBot="1">
      <c r="A213" s="243"/>
      <c r="B213" s="303" t="s">
        <v>115</v>
      </c>
      <c r="C213" s="304" t="s">
        <v>97</v>
      </c>
      <c r="D213" s="305" t="s">
        <v>16</v>
      </c>
      <c r="E213" s="306" t="s">
        <v>157</v>
      </c>
      <c r="F213" s="307" t="s">
        <v>118</v>
      </c>
      <c r="G213" s="308" t="s">
        <v>119</v>
      </c>
      <c r="H213" s="309"/>
    </row>
    <row r="214" spans="1:8">
      <c r="A214" s="243"/>
      <c r="B214" s="310" t="s">
        <v>120</v>
      </c>
      <c r="C214" s="311" t="s">
        <v>121</v>
      </c>
      <c r="D214" s="312">
        <v>0.12</v>
      </c>
      <c r="E214" s="313">
        <f>H231</f>
        <v>5333.7517647058812</v>
      </c>
      <c r="F214" s="314"/>
      <c r="G214" s="315">
        <f>D214*E214</f>
        <v>640.05021176470575</v>
      </c>
      <c r="H214" s="316"/>
    </row>
    <row r="215" spans="1:8" ht="15.75" thickBot="1">
      <c r="A215" s="243"/>
      <c r="B215" s="268" t="s">
        <v>159</v>
      </c>
      <c r="C215" s="173"/>
      <c r="D215" s="172">
        <v>0.05</v>
      </c>
      <c r="E215" s="317">
        <v>27800</v>
      </c>
      <c r="F215" s="318"/>
      <c r="G215" s="319">
        <f>D215*E215</f>
        <v>1390</v>
      </c>
      <c r="H215" s="320"/>
    </row>
    <row r="216" spans="1:8" ht="15.75" thickBot="1">
      <c r="A216" s="243"/>
      <c r="B216" s="321"/>
      <c r="C216" s="322"/>
      <c r="D216" s="323"/>
      <c r="E216" s="324" t="s">
        <v>122</v>
      </c>
      <c r="F216" s="325"/>
      <c r="G216" s="326"/>
      <c r="H216" s="327">
        <f>SUM(G214:G215)</f>
        <v>2030.0502117647056</v>
      </c>
    </row>
    <row r="217" spans="1:8" ht="16.5" thickBot="1">
      <c r="A217" s="243"/>
      <c r="B217" s="328" t="s">
        <v>123</v>
      </c>
      <c r="C217" s="329"/>
      <c r="D217" s="330"/>
      <c r="E217" s="331"/>
      <c r="F217" s="332"/>
      <c r="G217" s="332"/>
      <c r="H217" s="320"/>
    </row>
    <row r="218" spans="1:8" ht="15.75" thickBot="1">
      <c r="A218" s="243"/>
      <c r="B218" s="333" t="s">
        <v>115</v>
      </c>
      <c r="C218" s="334" t="s">
        <v>59</v>
      </c>
      <c r="D218" s="305" t="s">
        <v>16</v>
      </c>
      <c r="E218" s="335" t="s">
        <v>124</v>
      </c>
      <c r="F218" s="336" t="s">
        <v>118</v>
      </c>
      <c r="G218" s="337" t="s">
        <v>119</v>
      </c>
      <c r="H218" s="320"/>
    </row>
    <row r="219" spans="1:8">
      <c r="A219" s="243"/>
      <c r="B219" s="284" t="s">
        <v>160</v>
      </c>
      <c r="C219" s="338"/>
      <c r="D219" s="286">
        <v>1</v>
      </c>
      <c r="E219" s="339">
        <v>6671</v>
      </c>
      <c r="F219" s="340"/>
      <c r="G219" s="341">
        <f t="shared" ref="G219" si="3">D219*E219*(1+F219)</f>
        <v>6671</v>
      </c>
      <c r="H219" s="320"/>
    </row>
    <row r="220" spans="1:8" ht="15.75" thickBot="1">
      <c r="A220" s="243"/>
      <c r="B220" s="342"/>
      <c r="C220" s="343"/>
      <c r="D220" s="344"/>
      <c r="E220" s="345"/>
      <c r="F220" s="346"/>
      <c r="G220" s="347"/>
      <c r="H220" s="320"/>
    </row>
    <row r="221" spans="1:8" ht="15.75" thickBot="1">
      <c r="A221" s="243"/>
      <c r="B221" s="321"/>
      <c r="C221" s="322"/>
      <c r="D221" s="323"/>
      <c r="E221" s="348" t="s">
        <v>125</v>
      </c>
      <c r="F221" s="349"/>
      <c r="G221" s="326"/>
      <c r="H221" s="327">
        <f>SUM(G219:G220)</f>
        <v>6671</v>
      </c>
    </row>
    <row r="222" spans="1:8" ht="16.5" thickBot="1">
      <c r="A222" s="243"/>
      <c r="B222" s="328" t="s">
        <v>126</v>
      </c>
      <c r="C222" s="329"/>
      <c r="D222" s="330"/>
      <c r="E222" s="331"/>
      <c r="F222" s="332"/>
      <c r="G222" s="332"/>
      <c r="H222" s="320"/>
    </row>
    <row r="223" spans="1:8" ht="15.75" thickBot="1">
      <c r="A223" s="243"/>
      <c r="B223" s="350" t="s">
        <v>115</v>
      </c>
      <c r="C223" s="190" t="s">
        <v>127</v>
      </c>
      <c r="D223" s="351" t="s">
        <v>128</v>
      </c>
      <c r="E223" s="352" t="s">
        <v>124</v>
      </c>
      <c r="F223" s="353" t="s">
        <v>129</v>
      </c>
      <c r="G223" s="354" t="s">
        <v>119</v>
      </c>
      <c r="H223" s="320"/>
    </row>
    <row r="224" spans="1:8">
      <c r="A224" s="243"/>
      <c r="B224" s="355"/>
      <c r="C224" s="356"/>
      <c r="D224" s="357"/>
      <c r="E224" s="358"/>
      <c r="F224" s="582"/>
      <c r="G224" s="359"/>
      <c r="H224" s="320"/>
    </row>
    <row r="225" spans="1:8" ht="15.75" thickBot="1">
      <c r="A225" s="243"/>
      <c r="B225" s="360"/>
      <c r="C225" s="361"/>
      <c r="D225" s="362"/>
      <c r="E225" s="345"/>
      <c r="F225" s="363"/>
      <c r="G225" s="364"/>
      <c r="H225" s="320"/>
    </row>
    <row r="226" spans="1:8" ht="15.75" thickBot="1">
      <c r="A226" s="243"/>
      <c r="B226" s="321"/>
      <c r="C226" s="322"/>
      <c r="D226" s="323"/>
      <c r="E226" s="348" t="s">
        <v>131</v>
      </c>
      <c r="F226" s="349"/>
      <c r="G226" s="326"/>
      <c r="H226" s="327">
        <f>G224+G225</f>
        <v>0</v>
      </c>
    </row>
    <row r="227" spans="1:8" ht="16.5" thickBot="1">
      <c r="A227" s="243"/>
      <c r="B227" s="328" t="s">
        <v>132</v>
      </c>
      <c r="C227" s="329"/>
      <c r="D227" s="330"/>
      <c r="E227" s="331"/>
      <c r="F227" s="332"/>
      <c r="G227" s="332"/>
      <c r="H227" s="320"/>
    </row>
    <row r="228" spans="1:8" ht="15.75" thickBot="1">
      <c r="A228" s="243"/>
      <c r="B228" s="350" t="s">
        <v>115</v>
      </c>
      <c r="C228" s="334" t="s">
        <v>59</v>
      </c>
      <c r="D228" s="305" t="s">
        <v>16</v>
      </c>
      <c r="E228" s="365" t="s">
        <v>124</v>
      </c>
      <c r="F228" s="366" t="s">
        <v>118</v>
      </c>
      <c r="G228" s="367" t="s">
        <v>119</v>
      </c>
      <c r="H228" s="320" t="s">
        <v>135</v>
      </c>
    </row>
    <row r="229" spans="1:8">
      <c r="A229" s="243"/>
      <c r="B229" s="368" t="s">
        <v>156</v>
      </c>
      <c r="C229" s="356"/>
      <c r="D229" s="357">
        <f>1/51</f>
        <v>1.9607843137254902E-2</v>
      </c>
      <c r="E229" s="369">
        <v>272021.33999999997</v>
      </c>
      <c r="F229" s="583"/>
      <c r="G229" s="359">
        <f>+D229*E229</f>
        <v>5333.7517647058812</v>
      </c>
      <c r="H229" s="320"/>
    </row>
    <row r="230" spans="1:8" ht="15.75" thickBot="1">
      <c r="A230" s="243"/>
      <c r="B230" s="370"/>
      <c r="C230" s="361"/>
      <c r="D230" s="371"/>
      <c r="E230" s="372"/>
      <c r="F230" s="373"/>
      <c r="G230" s="374"/>
      <c r="H230" s="320"/>
    </row>
    <row r="231" spans="1:8" ht="15.75" thickBot="1">
      <c r="A231" s="243"/>
      <c r="B231" s="321"/>
      <c r="C231" s="322"/>
      <c r="D231" s="323"/>
      <c r="E231" s="348" t="s">
        <v>131</v>
      </c>
      <c r="F231" s="349"/>
      <c r="G231" s="326"/>
      <c r="H231" s="327">
        <f>SUM(G229:G230)</f>
        <v>5333.7517647058812</v>
      </c>
    </row>
    <row r="232" spans="1:8" ht="16.5" thickBot="1">
      <c r="A232" s="243"/>
      <c r="B232" s="321"/>
      <c r="C232" s="322"/>
      <c r="D232" s="323"/>
      <c r="E232" s="348"/>
      <c r="F232" s="349"/>
      <c r="G232" s="326"/>
      <c r="H232" s="375"/>
    </row>
    <row r="233" spans="1:8" ht="18.75" thickBot="1">
      <c r="A233" s="243"/>
      <c r="B233" s="376"/>
      <c r="C233" s="329"/>
      <c r="D233" s="330"/>
      <c r="E233" s="377" t="s">
        <v>137</v>
      </c>
      <c r="F233" s="378"/>
      <c r="G233" s="332"/>
      <c r="H233" s="379">
        <f>H216+H221+H226+H231</f>
        <v>14034.801976470586</v>
      </c>
    </row>
    <row r="234" spans="1:8" ht="15.75" thickBot="1">
      <c r="A234" s="243"/>
      <c r="B234" s="380"/>
      <c r="C234" s="381"/>
      <c r="D234" s="382"/>
      <c r="E234" s="382"/>
      <c r="F234" s="382"/>
      <c r="G234" s="382"/>
      <c r="H234" s="383"/>
    </row>
  </sheetData>
  <mergeCells count="30">
    <mergeCell ref="D211:H211"/>
    <mergeCell ref="C3:H3"/>
    <mergeCell ref="C4:H5"/>
    <mergeCell ref="D6:H6"/>
    <mergeCell ref="C62:H62"/>
    <mergeCell ref="C33:H33"/>
    <mergeCell ref="A31:H31"/>
    <mergeCell ref="C34:H35"/>
    <mergeCell ref="C208:H208"/>
    <mergeCell ref="D36:H36"/>
    <mergeCell ref="D154:H154"/>
    <mergeCell ref="C63:H64"/>
    <mergeCell ref="C152:H153"/>
    <mergeCell ref="D65:H65"/>
    <mergeCell ref="A91:H91"/>
    <mergeCell ref="C92:H92"/>
    <mergeCell ref="A1:H1"/>
    <mergeCell ref="A149:H149"/>
    <mergeCell ref="A61:H61"/>
    <mergeCell ref="C151:H151"/>
    <mergeCell ref="C209:H210"/>
    <mergeCell ref="C93:H94"/>
    <mergeCell ref="D95:H95"/>
    <mergeCell ref="C180:H180"/>
    <mergeCell ref="C181:H182"/>
    <mergeCell ref="D183:H183"/>
    <mergeCell ref="A121:H121"/>
    <mergeCell ref="C122:H122"/>
    <mergeCell ref="C123:H124"/>
    <mergeCell ref="D125:H125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60" fitToHeight="0" orientation="portrait" horizontalDpi="300" verticalDpi="300" r:id="rId1"/>
  <rowBreaks count="3" manualBreakCount="3">
    <brk id="30" max="7" man="1"/>
    <brk id="60" max="7" man="1"/>
    <brk id="20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</vt:lpstr>
      <vt:lpstr>MEM CANTIDADES</vt:lpstr>
      <vt:lpstr>MEMORIAS DE CALCULOS </vt:lpstr>
      <vt:lpstr>MEMORIAS ELE-VARI-AGUA-MOB</vt:lpstr>
      <vt:lpstr>APUS </vt:lpstr>
      <vt:lpstr>'APUS '!Área_de_impresión</vt:lpstr>
      <vt:lpstr>'MEM CANTIDADES'!Área_de_impresión</vt:lpstr>
      <vt:lpstr>PRESUPUESTO!Área_de_impresión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INFRAESTRUCTURA</dc:creator>
  <cp:keywords/>
  <dc:description/>
  <cp:lastModifiedBy>USUARIOX</cp:lastModifiedBy>
  <cp:revision/>
  <dcterms:created xsi:type="dcterms:W3CDTF">2019-06-28T14:10:47Z</dcterms:created>
  <dcterms:modified xsi:type="dcterms:W3CDTF">2023-09-07T13:31:51Z</dcterms:modified>
  <cp:category/>
  <cp:contentStatus/>
</cp:coreProperties>
</file>